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88" activeTab="0"/>
  </bookViews>
  <sheets>
    <sheet name="Hardy Cross_SI" sheetId="1" r:id="rId1"/>
    <sheet name="Delta-Q" sheetId="2" r:id="rId2"/>
    <sheet name="Methods" sheetId="3" r:id="rId3"/>
    <sheet name="Ref" sheetId="4" r:id="rId4"/>
  </sheets>
  <externalReferences>
    <externalReference r:id="rId7"/>
  </externalReferences>
  <definedNames/>
  <calcPr fullCalcOnLoad="1" iterate="1" iterateCount="100" iterateDelta="1E-05"/>
</workbook>
</file>

<file path=xl/sharedStrings.xml><?xml version="1.0" encoding="utf-8"?>
<sst xmlns="http://schemas.openxmlformats.org/spreadsheetml/2006/main" count="916" uniqueCount="325">
  <si>
    <t xml:space="preserve"> </t>
  </si>
  <si>
    <t>ft</t>
  </si>
  <si>
    <t xml:space="preserve"> -</t>
  </si>
  <si>
    <t>Hardy Cross Part 1</t>
  </si>
  <si>
    <t>by Kenneth Lamb</t>
  </si>
  <si>
    <t>https://www.youtube.com/watch?v=pjUxSOCRVoo</t>
  </si>
  <si>
    <t>[3]</t>
  </si>
  <si>
    <t>q =</t>
  </si>
  <si>
    <t>AD =</t>
  </si>
  <si>
    <t>AmD =</t>
  </si>
  <si>
    <t>MDD =</t>
  </si>
  <si>
    <t>AmD * MDF</t>
  </si>
  <si>
    <t>MDF =</t>
  </si>
  <si>
    <t>Nº of junctions</t>
  </si>
  <si>
    <t>Nu =</t>
  </si>
  <si>
    <t>Nj =</t>
  </si>
  <si>
    <t>Nu* q</t>
  </si>
  <si>
    <t>DpJ =</t>
  </si>
  <si>
    <t>MDD / Nj</t>
  </si>
  <si>
    <t>System demand</t>
  </si>
  <si>
    <t>SD =</t>
  </si>
  <si>
    <t>MDD + FF</t>
  </si>
  <si>
    <t>Fire Flow</t>
  </si>
  <si>
    <t>FF =</t>
  </si>
  <si>
    <t>J</t>
  </si>
  <si>
    <t>D</t>
  </si>
  <si>
    <t>I</t>
  </si>
  <si>
    <t>K</t>
  </si>
  <si>
    <t>E</t>
  </si>
  <si>
    <t>H</t>
  </si>
  <si>
    <t>G</t>
  </si>
  <si>
    <t>F</t>
  </si>
  <si>
    <t>C</t>
  </si>
  <si>
    <t>A</t>
  </si>
  <si>
    <t>Qgf =</t>
  </si>
  <si>
    <t>QF/2</t>
  </si>
  <si>
    <t>Qef =</t>
  </si>
  <si>
    <t>Let</t>
  </si>
  <si>
    <t>Qke =</t>
  </si>
  <si>
    <t>Qef</t>
  </si>
  <si>
    <t>Qde =</t>
  </si>
  <si>
    <t>Qd+Qde</t>
  </si>
  <si>
    <t>Qd =</t>
  </si>
  <si>
    <t>Qkg =</t>
  </si>
  <si>
    <t>QHg =</t>
  </si>
  <si>
    <t>Qih =</t>
  </si>
  <si>
    <t>Qh + Qhg</t>
  </si>
  <si>
    <t>Qh =</t>
  </si>
  <si>
    <t>Qhg =</t>
  </si>
  <si>
    <t>Qg =</t>
  </si>
  <si>
    <t>Qj =</t>
  </si>
  <si>
    <t>Qi =</t>
  </si>
  <si>
    <t>Qk =</t>
  </si>
  <si>
    <t>Qe =</t>
  </si>
  <si>
    <t>Qf =</t>
  </si>
  <si>
    <t>DPj + FF</t>
  </si>
  <si>
    <t>Qf - Qgf</t>
  </si>
  <si>
    <t>Qke + Qde = Qe + Qef</t>
  </si>
  <si>
    <t>Qe + Qef - Qke</t>
  </si>
  <si>
    <t>Qik =</t>
  </si>
  <si>
    <t>Qk + Qkg + Qke</t>
  </si>
  <si>
    <t>QHg + Qkg = Qg + Qgf</t>
  </si>
  <si>
    <t xml:space="preserve">QHg  = </t>
  </si>
  <si>
    <t>Qg + Qgf - Qkg</t>
  </si>
  <si>
    <t>Qji =</t>
  </si>
  <si>
    <t>Qi + Qih + Qik</t>
  </si>
  <si>
    <t>Source A</t>
  </si>
  <si>
    <t>Source C</t>
  </si>
  <si>
    <t>Loop</t>
  </si>
  <si>
    <t>JDEKI</t>
  </si>
  <si>
    <t>JD</t>
  </si>
  <si>
    <t>DE</t>
  </si>
  <si>
    <t>EK</t>
  </si>
  <si>
    <t>KI</t>
  </si>
  <si>
    <t>IJ</t>
  </si>
  <si>
    <t>Pipe ID</t>
  </si>
  <si>
    <t>r</t>
  </si>
  <si>
    <t>IKGH</t>
  </si>
  <si>
    <t>IK</t>
  </si>
  <si>
    <t>KG</t>
  </si>
  <si>
    <t>GH</t>
  </si>
  <si>
    <t>HI</t>
  </si>
  <si>
    <t>KEFG</t>
  </si>
  <si>
    <t>KE</t>
  </si>
  <si>
    <t>EF</t>
  </si>
  <si>
    <t>FG</t>
  </si>
  <si>
    <t>GK</t>
  </si>
  <si>
    <t>A-J</t>
  </si>
  <si>
    <t>QAJ =</t>
  </si>
  <si>
    <t>Qji + QJD</t>
  </si>
  <si>
    <t>QJI =</t>
  </si>
  <si>
    <t>Q JD =</t>
  </si>
  <si>
    <t>https://www.youtube.com/watch?v=t35MO1iMp4w</t>
  </si>
  <si>
    <t>Hardy Cross Part 2</t>
  </si>
  <si>
    <t>Hardy Cross Part 3</t>
  </si>
  <si>
    <t>[4]</t>
  </si>
  <si>
    <t>[5]</t>
  </si>
  <si>
    <t xml:space="preserve">Input information for the pipe running from thr reservoir to the first </t>
  </si>
  <si>
    <t>system junction</t>
  </si>
  <si>
    <t>(Eq.1)</t>
  </si>
  <si>
    <t>n =</t>
  </si>
  <si>
    <t>R</t>
  </si>
  <si>
    <t>(Eq.2)</t>
  </si>
  <si>
    <t>(Eq.3)</t>
  </si>
  <si>
    <t>Sum</t>
  </si>
  <si>
    <t>(Eq.5)</t>
  </si>
  <si>
    <t>Shared pipes</t>
  </si>
  <si>
    <t xml:space="preserve">For example, shared pipes shown in green cells </t>
  </si>
  <si>
    <t>In this case, the adjusted flow will be</t>
  </si>
  <si>
    <t>Qajd(EK) =</t>
  </si>
  <si>
    <t>https://www.youtube.com/watch?v=Tg4U3PdzzoY</t>
  </si>
  <si>
    <t>iteration</t>
  </si>
  <si>
    <t>Residual pressure</t>
  </si>
  <si>
    <t>Residual pressure at the junctions</t>
  </si>
  <si>
    <t>Pipe velocities</t>
  </si>
  <si>
    <t>Node</t>
  </si>
  <si>
    <t>y-coord</t>
  </si>
  <si>
    <t>z-coord</t>
  </si>
  <si>
    <t>Pipe Nº</t>
  </si>
  <si>
    <t>Di</t>
  </si>
  <si>
    <t>L</t>
  </si>
  <si>
    <t>Q</t>
  </si>
  <si>
    <t>v</t>
  </si>
  <si>
    <t>hf</t>
  </si>
  <si>
    <t>J-D</t>
  </si>
  <si>
    <t>D-E</t>
  </si>
  <si>
    <t>E-F</t>
  </si>
  <si>
    <t>F-G</t>
  </si>
  <si>
    <t>G-H</t>
  </si>
  <si>
    <t>H-I</t>
  </si>
  <si>
    <t>I-J</t>
  </si>
  <si>
    <t>K-E</t>
  </si>
  <si>
    <t>K-G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</si>
  <si>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EL</t>
    </r>
  </si>
  <si>
    <t xml:space="preserve">ft </t>
  </si>
  <si>
    <t>AD</t>
  </si>
  <si>
    <t>AJ</t>
  </si>
  <si>
    <t>AJ + JD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</si>
  <si>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P</t>
    </r>
  </si>
  <si>
    <t>psi</t>
  </si>
  <si>
    <r>
      <t>P</t>
    </r>
    <r>
      <rPr>
        <vertAlign val="subscript"/>
        <sz val="11"/>
        <color indexed="8"/>
        <rFont val="Calibri"/>
        <family val="2"/>
      </rPr>
      <t>residual</t>
    </r>
    <r>
      <rPr>
        <sz val="11"/>
        <color theme="1"/>
        <rFont val="Calibri"/>
        <family val="2"/>
      </rPr>
      <t xml:space="preserve">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EL 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P</t>
    </r>
  </si>
  <si>
    <t>AF</t>
  </si>
  <si>
    <t>AJ+JD+DE+EF</t>
  </si>
  <si>
    <t>Node i</t>
  </si>
  <si>
    <t>I-K</t>
  </si>
  <si>
    <t>Note 1</t>
  </si>
  <si>
    <t>Note 1.</t>
  </si>
  <si>
    <r>
      <t>IF(Q&lt;0,</t>
    </r>
    <r>
      <rPr>
        <b/>
        <sz val="14"/>
        <color indexed="10"/>
        <rFont val="Calibri"/>
        <family val="2"/>
      </rPr>
      <t>-</t>
    </r>
    <r>
      <rPr>
        <sz val="11"/>
        <color theme="1"/>
        <rFont val="Calibri"/>
        <family val="2"/>
      </rPr>
      <t>h*ABS(Q)^1.85,</t>
    </r>
    <r>
      <rPr>
        <sz val="14"/>
        <color indexed="10"/>
        <rFont val="Calibri"/>
        <family val="2"/>
      </rPr>
      <t>$</t>
    </r>
    <r>
      <rPr>
        <sz val="11"/>
        <color theme="1"/>
        <rFont val="Calibri"/>
        <family val="2"/>
      </rPr>
      <t>r*ABS(Q)^1.85)</t>
    </r>
  </si>
  <si>
    <t>Input information for the pipe running from thr reservoir to the first system junction</t>
  </si>
  <si>
    <t>a copy-paste method for the next</t>
  </si>
  <si>
    <t>Reservoir</t>
  </si>
  <si>
    <t xml:space="preserve">Pressure losses between node A and </t>
  </si>
  <si>
    <t>the selected node</t>
  </si>
  <si>
    <t xml:space="preserve">       Coordinates  (ft)</t>
  </si>
  <si>
    <t>Column with the elevation difference</t>
  </si>
  <si>
    <t>referred to the elevation of the junction A</t>
  </si>
  <si>
    <r>
      <t xml:space="preserve"> EL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- EL</t>
    </r>
    <r>
      <rPr>
        <vertAlign val="subscript"/>
        <sz val="11"/>
        <color indexed="8"/>
        <rFont val="Calibri"/>
        <family val="2"/>
      </rPr>
      <t>i</t>
    </r>
  </si>
  <si>
    <t>Table 1</t>
  </si>
  <si>
    <r>
      <t>hf</t>
    </r>
    <r>
      <rPr>
        <vertAlign val="subscript"/>
        <sz val="11"/>
        <color indexed="8"/>
        <rFont val="Calibri"/>
        <family val="2"/>
      </rPr>
      <t>k</t>
    </r>
  </si>
  <si>
    <r>
      <t>hf</t>
    </r>
    <r>
      <rPr>
        <b/>
        <vertAlign val="subscript"/>
        <sz val="11"/>
        <color indexed="8"/>
        <rFont val="Calibri"/>
        <family val="2"/>
      </rPr>
      <t>k</t>
    </r>
  </si>
  <si>
    <t>Table 4</t>
  </si>
  <si>
    <t>Consumptions in nodes</t>
  </si>
  <si>
    <t>Table 5</t>
  </si>
  <si>
    <t>G-F</t>
  </si>
  <si>
    <t>H-G</t>
  </si>
  <si>
    <t>J-I</t>
  </si>
  <si>
    <t>I-H</t>
  </si>
  <si>
    <t>Table 6</t>
  </si>
  <si>
    <t>Table 2</t>
  </si>
  <si>
    <t>Table 3</t>
  </si>
  <si>
    <t>Table 7</t>
  </si>
  <si>
    <t>Pipe diameters, Hazen-Williams constant</t>
  </si>
  <si>
    <t>The water system shown in Figure 1 has the folowing data:</t>
  </si>
  <si>
    <t>Assigned flows and calculated</t>
  </si>
  <si>
    <t>values</t>
  </si>
  <si>
    <t>Total number of houses in the system</t>
  </si>
  <si>
    <t>Fire flow</t>
  </si>
  <si>
    <t>(named as number of units Nu)</t>
  </si>
  <si>
    <t>Average day unit demnad</t>
  </si>
  <si>
    <t>1.- Assign flow directions in the loops</t>
  </si>
  <si>
    <t>A clockweise direction is assigned as positive</t>
  </si>
  <si>
    <t>2.- Water demand in each junction</t>
  </si>
  <si>
    <t>In the example the demands are defined</t>
  </si>
  <si>
    <t>as follows</t>
  </si>
  <si>
    <t>NU =</t>
  </si>
  <si>
    <t>units</t>
  </si>
  <si>
    <t>AD / (24*60)</t>
  </si>
  <si>
    <t>Assuming that all junction demans are</t>
  </si>
  <si>
    <t>the same</t>
  </si>
  <si>
    <t>Consumption at the nodes</t>
  </si>
  <si>
    <t>Figure 3</t>
  </si>
  <si>
    <t>3.- Assign the fire flow to junction F</t>
  </si>
  <si>
    <t>With data from Table 4</t>
  </si>
  <si>
    <t>4.- Assing flow values to the map</t>
  </si>
  <si>
    <t>Figure 4</t>
  </si>
  <si>
    <t>6.- Tabulate flows obtained in Table 5</t>
  </si>
  <si>
    <t>Figure 4 (repeated)</t>
  </si>
  <si>
    <t>7.- Assign signs of flows, according Figure 4</t>
  </si>
  <si>
    <t>K-I</t>
  </si>
  <si>
    <t>E-K</t>
  </si>
  <si>
    <t>G-K</t>
  </si>
  <si>
    <t>http://mimoza.marmara.edu.tr/~orhan.gokyay/enve311/ch8.pdf</t>
  </si>
  <si>
    <t>[2]</t>
  </si>
  <si>
    <t>CHAPTER 8</t>
  </si>
  <si>
    <t>WATER DISTRIBUTION SYSTEMS</t>
  </si>
  <si>
    <t>https://en.wikipedia.org/wiki/Hardy_Cross_method</t>
  </si>
  <si>
    <t>https://www.slideshare.net/yourmohsin/pipe-network-analysis</t>
  </si>
  <si>
    <t>https://www.academia.edu/27201469/Hardy_Cross_Method_for_Solving_Pipe_Network_Problems</t>
  </si>
  <si>
    <t>[6]</t>
  </si>
  <si>
    <t>Hardy Cross method for solving pipe network problems</t>
  </si>
  <si>
    <t>I. Nengah Diasta</t>
  </si>
  <si>
    <t>Lt/min</t>
  </si>
  <si>
    <t>L (m)</t>
  </si>
  <si>
    <t>Junctions coordinates (m)</t>
  </si>
  <si>
    <t>lt/min</t>
  </si>
  <si>
    <t>lt/(day*unit)</t>
  </si>
  <si>
    <t>lt/(day*system)</t>
  </si>
  <si>
    <t>lLt/(h*system)</t>
  </si>
  <si>
    <t>lt/(min*system)</t>
  </si>
  <si>
    <t>lt/(min*junction)</t>
  </si>
  <si>
    <t>Q [lt/min]</t>
  </si>
  <si>
    <t>D (m)</t>
  </si>
  <si>
    <t>D (mn)</t>
  </si>
  <si>
    <t>m3/s</t>
  </si>
  <si>
    <t>[1]</t>
  </si>
  <si>
    <t>Average day demand in the system: AD</t>
  </si>
  <si>
    <t>Average minute demand: AmD</t>
  </si>
  <si>
    <t>Demand per Junction: DpJ</t>
  </si>
  <si>
    <t>Qjd =</t>
  </si>
  <si>
    <t>Balance in node E</t>
  </si>
  <si>
    <t>Balance in nodeD</t>
  </si>
  <si>
    <t>Balancein node G</t>
  </si>
  <si>
    <t>Balance in node K</t>
  </si>
  <si>
    <t>Balance in node H</t>
  </si>
  <si>
    <t>Balance in node I</t>
  </si>
  <si>
    <t>Balance in node J</t>
  </si>
  <si>
    <t>5. Asign flow rates and flow directions to the pipes</t>
  </si>
  <si>
    <t>Balance in node F</t>
  </si>
  <si>
    <t>From Table 5, or Figure 4</t>
  </si>
  <si>
    <t>hf =10.626 * L * Q^1.85 / (C^0.85 * d^4.867 )</t>
  </si>
  <si>
    <t>(Eq. d)</t>
  </si>
  <si>
    <t>m</t>
  </si>
  <si>
    <t xml:space="preserve"> - </t>
  </si>
  <si>
    <t>d</t>
  </si>
  <si>
    <t>m/s</t>
  </si>
  <si>
    <t>Rh</t>
  </si>
  <si>
    <t>S</t>
  </si>
  <si>
    <t>(Eq.e)</t>
  </si>
  <si>
    <t>(Eq.f)</t>
  </si>
  <si>
    <t>r =</t>
  </si>
  <si>
    <t>10.626 * L / ( C^1.85 * d^4.867  )</t>
  </si>
  <si>
    <t>hf =</t>
  </si>
  <si>
    <t>r * Q^1.85</t>
  </si>
  <si>
    <t>h (m)</t>
  </si>
  <si>
    <r>
      <t>Q (m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/s)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</si>
  <si>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Q (m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/s)</t>
    </r>
  </si>
  <si>
    <r>
      <t>Q</t>
    </r>
    <r>
      <rPr>
        <vertAlign val="subscript"/>
        <sz val="11"/>
        <color indexed="8"/>
        <rFont val="Calibri"/>
        <family val="2"/>
      </rPr>
      <t>adj</t>
    </r>
    <r>
      <rPr>
        <sz val="11"/>
        <color theme="1"/>
        <rFont val="Calibri"/>
        <family val="2"/>
      </rPr>
      <t>(m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/s)</t>
    </r>
  </si>
  <si>
    <t>m/(1000m)</t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</si>
  <si>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</t>
    </r>
  </si>
  <si>
    <t>m²</t>
  </si>
  <si>
    <t>m/km</t>
  </si>
  <si>
    <t>9.- Iterations.  Table 8</t>
  </si>
  <si>
    <t>Table 9</t>
  </si>
  <si>
    <t>Table 10</t>
  </si>
  <si>
    <t>Table 12</t>
  </si>
  <si>
    <t>(from Table 41)</t>
  </si>
  <si>
    <r>
      <t>Flow rates solution  Q (m</t>
    </r>
    <r>
      <rPr>
        <b/>
        <vertAlign val="superscript"/>
        <sz val="11"/>
        <color indexed="40"/>
        <rFont val="Arial"/>
        <family val="2"/>
      </rPr>
      <t>3</t>
    </r>
    <r>
      <rPr>
        <b/>
        <sz val="11"/>
        <color indexed="40"/>
        <rFont val="Arial"/>
        <family val="2"/>
      </rPr>
      <t>/s)</t>
    </r>
  </si>
  <si>
    <t>To see the original document, see</t>
  </si>
  <si>
    <t>www.piping-tools.net</t>
  </si>
  <si>
    <t>Pipes. Network analysis using the Hardy Cross method _Imperial units</t>
  </si>
  <si>
    <t>or the youtube presentations [3], [4] and [5]</t>
  </si>
  <si>
    <t>Network analysis using the Hardy Cross method  [3], [4] and [5]</t>
  </si>
  <si>
    <t>Modification of (Eq.f) to allow for a</t>
  </si>
  <si>
    <t>Pressure loss per 1000 m</t>
  </si>
  <si>
    <t>from Table 1</t>
  </si>
  <si>
    <r>
      <t>Q [m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/s]</t>
    </r>
  </si>
  <si>
    <t>(Eq. e)</t>
  </si>
  <si>
    <t>(Eq. f)</t>
  </si>
  <si>
    <r>
      <rPr>
        <sz val="11"/>
        <color indexed="40"/>
        <rFont val="Symbol"/>
        <family val="1"/>
      </rPr>
      <t>D</t>
    </r>
    <r>
      <rPr>
        <sz val="11"/>
        <color indexed="40"/>
        <rFont val="Calibri"/>
        <family val="2"/>
      </rPr>
      <t>Q (m</t>
    </r>
    <r>
      <rPr>
        <vertAlign val="superscript"/>
        <sz val="11"/>
        <color indexed="40"/>
        <rFont val="Calibri"/>
        <family val="2"/>
      </rPr>
      <t>3</t>
    </r>
    <r>
      <rPr>
        <sz val="11"/>
        <color indexed="40"/>
        <rFont val="Calibri"/>
        <family val="2"/>
      </rPr>
      <t>/s)</t>
    </r>
  </si>
  <si>
    <t>10.626 * L / ( C^1.85 * d^4.867 )</t>
  </si>
  <si>
    <t>Delta Q</t>
  </si>
  <si>
    <t>Analysis of water supply distribution networks</t>
  </si>
  <si>
    <t>Mohsin Siddique</t>
  </si>
  <si>
    <t>x-coord</t>
  </si>
  <si>
    <t xml:space="preserve">Maximum Day Factor </t>
  </si>
  <si>
    <t>and lengths</t>
  </si>
  <si>
    <t>Note. Length could be obtained from Table 1</t>
  </si>
  <si>
    <t>Maximum day demand : MDD</t>
  </si>
  <si>
    <r>
      <t>(change the flow units to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/s)</t>
    </r>
  </si>
  <si>
    <r>
      <t>Q (m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/s)</t>
    </r>
  </si>
  <si>
    <t>Pipes. Flow rate and pressure loss equations_Manning_HazenWilliams_DarcyWeisbach</t>
  </si>
  <si>
    <t>[7]</t>
  </si>
  <si>
    <t>8. Hazen Wiliams equations (metric system)   [7]</t>
  </si>
  <si>
    <t>Pipe length</t>
  </si>
  <si>
    <t>Flow rate</t>
  </si>
  <si>
    <t>Pipe diameter</t>
  </si>
  <si>
    <t>Friction pressure loss</t>
  </si>
  <si>
    <t>Hydraulic radius</t>
  </si>
  <si>
    <t>m/m</t>
  </si>
  <si>
    <t>Mean velocity</t>
  </si>
  <si>
    <t>Friction slope</t>
  </si>
  <si>
    <t xml:space="preserve">Hazen Williams </t>
  </si>
  <si>
    <t>roughness coefficient</t>
  </si>
  <si>
    <t>Hazen Williams empirical equation for friction head loss</t>
  </si>
  <si>
    <t xml:space="preserve">The Hazen Williams equation was developed for water at </t>
  </si>
  <si>
    <t xml:space="preserve">temperatures normally experienced in potable water </t>
  </si>
  <si>
    <t xml:space="preserve">systems, for pipe diameters  d &gt;= 50 mm and within a </t>
  </si>
  <si>
    <t>moderate range of water velocity v &lt;= 3 m/s.</t>
  </si>
  <si>
    <t>iterations.</t>
  </si>
  <si>
    <t>(Eq. 4)</t>
  </si>
  <si>
    <t>(from Table 7)</t>
  </si>
  <si>
    <t>Table 11</t>
  </si>
  <si>
    <t>Data from Table 7 and Table 9</t>
  </si>
  <si>
    <t>From Tables 11 and 9</t>
  </si>
  <si>
    <t>in</t>
  </si>
  <si>
    <t>ft²</t>
  </si>
  <si>
    <t>gpm</t>
  </si>
  <si>
    <t>ft3/s</t>
  </si>
  <si>
    <t>fps</t>
  </si>
  <si>
    <t>ft/kft</t>
  </si>
  <si>
    <t>Results from [3], expressed in SI units</t>
  </si>
  <si>
    <t>Results from [3] in Imperial units</t>
  </si>
  <si>
    <t xml:space="preserve">The difference is due to the equations used. </t>
  </si>
  <si>
    <t>Obtained results</t>
  </si>
  <si>
    <r>
      <t xml:space="preserve">Qini(EK) +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Q(EK) 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Q(KE)</t>
    </r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</si>
</sst>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"/>
    <numFmt numFmtId="165" formatCode="0.0E+00"/>
    <numFmt numFmtId="166" formatCode="0.0000"/>
    <numFmt numFmtId="167" formatCode="0.000"/>
    <numFmt numFmtId="168" formatCode="0.000000"/>
    <numFmt numFmtId="169" formatCode="0.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Symbol"/>
      <family val="1"/>
    </font>
    <font>
      <vertAlign val="subscript"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4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2"/>
      <color indexed="40"/>
      <name val="Calibri"/>
      <family val="2"/>
    </font>
    <font>
      <b/>
      <sz val="11"/>
      <color indexed="40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40"/>
      <name val="Arial"/>
      <family val="2"/>
    </font>
    <font>
      <sz val="11"/>
      <color indexed="40"/>
      <name val="Calibri"/>
      <family val="2"/>
    </font>
    <font>
      <sz val="14"/>
      <color indexed="8"/>
      <name val="Calibri"/>
      <family val="2"/>
    </font>
    <font>
      <sz val="16"/>
      <color indexed="10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vertAlign val="superscript"/>
      <sz val="11"/>
      <color indexed="40"/>
      <name val="Arial"/>
      <family val="2"/>
    </font>
    <font>
      <sz val="11"/>
      <color indexed="40"/>
      <name val="Symbol"/>
      <family val="1"/>
    </font>
    <font>
      <vertAlign val="superscript"/>
      <sz val="11"/>
      <color indexed="40"/>
      <name val="Calibri"/>
      <family val="2"/>
    </font>
    <font>
      <sz val="10"/>
      <color indexed="40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rgb="FF00B0F0"/>
      <name val="Calibri"/>
      <family val="2"/>
    </font>
    <font>
      <b/>
      <sz val="12"/>
      <color rgb="FF00B0F0"/>
      <name val="Calibri"/>
      <family val="2"/>
    </font>
    <font>
      <b/>
      <sz val="11"/>
      <color rgb="FF00B0F0"/>
      <name val="Calibri"/>
      <family val="2"/>
    </font>
    <font>
      <b/>
      <sz val="11"/>
      <color rgb="FF00B0F0"/>
      <name val="Arial"/>
      <family val="2"/>
    </font>
    <font>
      <sz val="11"/>
      <color rgb="FF00B0F0"/>
      <name val="Calibri"/>
      <family val="2"/>
    </font>
    <font>
      <sz val="14"/>
      <color theme="1"/>
      <name val="Calibri"/>
      <family val="2"/>
    </font>
    <font>
      <sz val="8"/>
      <color theme="1"/>
      <name val="Arial"/>
      <family val="2"/>
    </font>
    <font>
      <b/>
      <sz val="12"/>
      <color theme="0"/>
      <name val="Calibri"/>
      <family val="2"/>
    </font>
    <font>
      <sz val="10"/>
      <color rgb="FF00B0F0"/>
      <name val="Calibri"/>
      <family val="2"/>
    </font>
    <font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ck">
        <color rgb="FF00B0F0"/>
      </left>
      <right/>
      <top/>
      <bottom/>
    </border>
    <border>
      <left style="thick">
        <color rgb="FF00B0F0"/>
      </left>
      <right/>
      <top style="thick">
        <color rgb="FF00B0F0"/>
      </top>
      <bottom/>
    </border>
    <border>
      <left/>
      <right/>
      <top style="thick">
        <color rgb="FF00B0F0"/>
      </top>
      <bottom/>
    </border>
    <border>
      <left style="thick">
        <color rgb="FF00B0F0"/>
      </left>
      <right/>
      <top/>
      <bottom style="thick">
        <color rgb="FF00B0F0"/>
      </bottom>
    </border>
    <border>
      <left/>
      <right style="thick">
        <color rgb="FF00B0F0"/>
      </right>
      <top style="thick">
        <color rgb="FF00B0F0"/>
      </top>
      <bottom/>
    </border>
    <border>
      <left/>
      <right style="thick">
        <color rgb="FF00B0F0"/>
      </right>
      <top/>
      <bottom/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/>
      <bottom/>
    </border>
    <border>
      <left style="medium">
        <color rgb="FF00B0F0"/>
      </left>
      <right/>
      <top style="double">
        <color rgb="FF00B0F0"/>
      </top>
      <bottom style="medium">
        <color rgb="FF00B0F0"/>
      </bottom>
    </border>
    <border>
      <left/>
      <right/>
      <top style="double">
        <color rgb="FF00B0F0"/>
      </top>
      <bottom style="medium">
        <color rgb="FF00B0F0"/>
      </bottom>
    </border>
    <border>
      <left/>
      <right style="double">
        <color rgb="FF00B0F0"/>
      </right>
      <top style="double">
        <color rgb="FF00B0F0"/>
      </top>
      <bottom style="medium">
        <color rgb="FF00B0F0"/>
      </bottom>
    </border>
    <border>
      <left style="thin">
        <color rgb="FF00B0F0"/>
      </left>
      <right style="double">
        <color rgb="FF00B0F0"/>
      </right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/>
      <right/>
      <top style="thin">
        <color rgb="FF00B0F0"/>
      </top>
      <bottom style="double">
        <color rgb="FF00B0F0"/>
      </bottom>
    </border>
    <border>
      <left style="thin">
        <color rgb="FF00B0F0"/>
      </left>
      <right/>
      <top style="double">
        <color rgb="FF00B0F0"/>
      </top>
      <bottom style="thin">
        <color rgb="FF00B0F0"/>
      </bottom>
    </border>
    <border>
      <left/>
      <right/>
      <top style="double">
        <color rgb="FF00B0F0"/>
      </top>
      <bottom style="thin">
        <color rgb="FF00B0F0"/>
      </bottom>
    </border>
    <border>
      <left/>
      <right style="thin">
        <color rgb="FF00B0F0"/>
      </right>
      <top style="double">
        <color rgb="FF00B0F0"/>
      </top>
      <bottom style="thin">
        <color rgb="FF00B0F0"/>
      </bottom>
    </border>
    <border>
      <left/>
      <right style="double">
        <color rgb="FF00B0F0"/>
      </right>
      <top style="double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/>
      <right style="double">
        <color rgb="FF00B0F0"/>
      </right>
      <top/>
      <bottom style="thin">
        <color rgb="FF00B0F0"/>
      </bottom>
    </border>
    <border>
      <left style="thin">
        <color rgb="FF00B0F0"/>
      </left>
      <right style="double">
        <color rgb="FF00B0F0"/>
      </right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double">
        <color rgb="FF00B0F0"/>
      </bottom>
    </border>
    <border>
      <left/>
      <right/>
      <top/>
      <bottom style="thick">
        <color rgb="FF00B0F0"/>
      </bottom>
    </border>
    <border>
      <left/>
      <right style="thick">
        <color rgb="FF00B0F0"/>
      </right>
      <top/>
      <bottom style="thick">
        <color rgb="FF00B0F0"/>
      </bottom>
    </border>
    <border>
      <left style="thin">
        <color rgb="FF00B0F0"/>
      </left>
      <right/>
      <top style="thin">
        <color rgb="FF00B0F0"/>
      </top>
      <bottom style="double">
        <color rgb="FF00B0F0"/>
      </bottom>
    </border>
    <border>
      <left style="double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thin">
        <color rgb="FF00B0F0"/>
      </bottom>
    </border>
    <border>
      <left style="double">
        <color rgb="FF00B0F0"/>
      </left>
      <right style="double">
        <color rgb="FF00B0F0"/>
      </right>
      <top style="thin">
        <color rgb="FF00B0F0"/>
      </top>
      <bottom style="thin">
        <color rgb="FF00B0F0"/>
      </bottom>
    </border>
    <border>
      <left style="double">
        <color rgb="FF00B0F0"/>
      </left>
      <right style="double">
        <color rgb="FF00B0F0"/>
      </right>
      <top style="thin">
        <color rgb="FF00B0F0"/>
      </top>
      <bottom style="double">
        <color rgb="FF00B0F0"/>
      </bottom>
    </border>
    <border>
      <left style="thin">
        <color rgb="FF00B0F0"/>
      </left>
      <right/>
      <top style="double">
        <color rgb="FF00B0F0"/>
      </top>
      <bottom/>
    </border>
    <border>
      <left/>
      <right style="thin">
        <color rgb="FF00B0F0"/>
      </right>
      <top style="double">
        <color rgb="FF00B0F0"/>
      </top>
      <bottom/>
    </border>
    <border>
      <left/>
      <right style="double">
        <color rgb="FF00B0F0"/>
      </right>
      <top style="thin">
        <color rgb="FF00B0F0"/>
      </top>
      <bottom style="thin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55" fillId="0" borderId="0" xfId="52" applyAlignment="1">
      <alignment/>
    </xf>
    <xf numFmtId="0" fontId="64" fillId="0" borderId="0" xfId="0" applyFont="1" applyAlignment="1">
      <alignment vertical="center"/>
    </xf>
    <xf numFmtId="0" fontId="0" fillId="0" borderId="0" xfId="0" applyBorder="1" applyAlignment="1">
      <alignment/>
    </xf>
    <xf numFmtId="0" fontId="64" fillId="0" borderId="0" xfId="0" applyFont="1" applyBorder="1" applyAlignment="1">
      <alignment vertical="center"/>
    </xf>
    <xf numFmtId="1" fontId="65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65" fillId="0" borderId="0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65" fillId="0" borderId="0" xfId="0" applyNumberFormat="1" applyFont="1" applyBorder="1" applyAlignment="1">
      <alignment horizontal="left"/>
    </xf>
    <xf numFmtId="1" fontId="0" fillId="34" borderId="0" xfId="0" applyNumberFormat="1" applyFill="1" applyBorder="1" applyAlignment="1">
      <alignment horizontal="center"/>
    </xf>
    <xf numFmtId="1" fontId="65" fillId="0" borderId="0" xfId="0" applyNumberFormat="1" applyFont="1" applyBorder="1" applyAlignment="1">
      <alignment horizontal="center"/>
    </xf>
    <xf numFmtId="164" fontId="6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62" fillId="0" borderId="0" xfId="0" applyFont="1" applyBorder="1" applyAlignment="1">
      <alignment horizontal="left"/>
    </xf>
    <xf numFmtId="164" fontId="65" fillId="0" borderId="0" xfId="0" applyNumberFormat="1" applyFont="1" applyBorder="1" applyAlignment="1">
      <alignment/>
    </xf>
    <xf numFmtId="164" fontId="0" fillId="34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2" xfId="0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66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35" xfId="0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7" fontId="0" fillId="0" borderId="36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33" borderId="27" xfId="0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0" fontId="0" fillId="35" borderId="28" xfId="0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/>
    </xf>
    <xf numFmtId="164" fontId="0" fillId="0" borderId="41" xfId="0" applyNumberForma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/>
    </xf>
    <xf numFmtId="165" fontId="0" fillId="33" borderId="22" xfId="0" applyNumberFormat="1" applyFill="1" applyBorder="1" applyAlignment="1">
      <alignment horizontal="center"/>
    </xf>
    <xf numFmtId="0" fontId="0" fillId="0" borderId="42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8" fillId="0" borderId="24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69" fillId="0" borderId="48" xfId="0" applyFon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0" fontId="0" fillId="0" borderId="49" xfId="0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0" fontId="0" fillId="0" borderId="51" xfId="0" applyBorder="1" applyAlignment="1">
      <alignment/>
    </xf>
    <xf numFmtId="0" fontId="0" fillId="33" borderId="52" xfId="0" applyFill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70" fillId="0" borderId="0" xfId="0" applyFont="1" applyBorder="1" applyAlignment="1">
      <alignment/>
    </xf>
    <xf numFmtId="0" fontId="0" fillId="0" borderId="25" xfId="0" applyBorder="1" applyAlignment="1">
      <alignment/>
    </xf>
    <xf numFmtId="0" fontId="67" fillId="0" borderId="22" xfId="0" applyFont="1" applyBorder="1" applyAlignment="1">
      <alignment/>
    </xf>
    <xf numFmtId="0" fontId="0" fillId="0" borderId="27" xfId="0" applyBorder="1" applyAlignment="1">
      <alignment/>
    </xf>
    <xf numFmtId="0" fontId="71" fillId="0" borderId="31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71" fillId="0" borderId="0" xfId="0" applyFont="1" applyBorder="1" applyAlignment="1">
      <alignment/>
    </xf>
    <xf numFmtId="0" fontId="0" fillId="0" borderId="0" xfId="0" applyAlignment="1">
      <alignment horizontal="right"/>
    </xf>
    <xf numFmtId="2" fontId="0" fillId="0" borderId="50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0" fillId="0" borderId="57" xfId="0" applyBorder="1" applyAlignment="1">
      <alignment/>
    </xf>
    <xf numFmtId="0" fontId="0" fillId="0" borderId="57" xfId="0" applyFill="1" applyBorder="1" applyAlignment="1">
      <alignment horizontal="center"/>
    </xf>
    <xf numFmtId="0" fontId="0" fillId="0" borderId="58" xfId="0" applyBorder="1" applyAlignment="1">
      <alignment/>
    </xf>
    <xf numFmtId="0" fontId="68" fillId="0" borderId="59" xfId="0" applyFont="1" applyFill="1" applyBorder="1" applyAlignment="1">
      <alignment horizontal="center"/>
    </xf>
    <xf numFmtId="164" fontId="0" fillId="0" borderId="59" xfId="0" applyNumberForma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7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14" xfId="0" applyBorder="1" applyAlignment="1">
      <alignment horizontal="left"/>
    </xf>
    <xf numFmtId="0" fontId="0" fillId="0" borderId="63" xfId="0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1" xfId="0" applyBorder="1" applyAlignment="1">
      <alignment/>
    </xf>
    <xf numFmtId="164" fontId="0" fillId="34" borderId="41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61" fillId="0" borderId="42" xfId="0" applyFont="1" applyFill="1" applyBorder="1" applyAlignment="1">
      <alignment horizontal="left"/>
    </xf>
    <xf numFmtId="0" fontId="61" fillId="0" borderId="59" xfId="0" applyFont="1" applyFill="1" applyBorder="1" applyAlignment="1">
      <alignment horizontal="center"/>
    </xf>
    <xf numFmtId="164" fontId="0" fillId="34" borderId="59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1" fillId="0" borderId="12" xfId="0" applyFont="1" applyBorder="1" applyAlignment="1">
      <alignment/>
    </xf>
    <xf numFmtId="1" fontId="62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0" fontId="72" fillId="0" borderId="0" xfId="0" applyFont="1" applyBorder="1" applyAlignment="1">
      <alignment/>
    </xf>
    <xf numFmtId="0" fontId="71" fillId="0" borderId="0" xfId="0" applyFont="1" applyAlignment="1">
      <alignment/>
    </xf>
    <xf numFmtId="0" fontId="73" fillId="0" borderId="0" xfId="0" applyFont="1" applyBorder="1" applyAlignment="1">
      <alignment/>
    </xf>
    <xf numFmtId="0" fontId="71" fillId="0" borderId="11" xfId="0" applyFont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22" xfId="0" applyNumberFormat="1" applyFill="1" applyBorder="1" applyAlignment="1">
      <alignment horizontal="center"/>
    </xf>
    <xf numFmtId="0" fontId="7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3" fontId="0" fillId="34" borderId="0" xfId="0" applyNumberFormat="1" applyFill="1" applyBorder="1" applyAlignment="1">
      <alignment horizontal="center"/>
    </xf>
    <xf numFmtId="0" fontId="61" fillId="0" borderId="0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28" xfId="0" applyNumberFormat="1" applyFill="1" applyBorder="1" applyAlignment="1">
      <alignment horizontal="center"/>
    </xf>
    <xf numFmtId="164" fontId="0" fillId="33" borderId="28" xfId="0" applyNumberFormat="1" applyFill="1" applyBorder="1" applyAlignment="1">
      <alignment horizontal="center"/>
    </xf>
    <xf numFmtId="0" fontId="75" fillId="0" borderId="0" xfId="0" applyFont="1" applyAlignment="1">
      <alignment vertical="center"/>
    </xf>
    <xf numFmtId="1" fontId="0" fillId="33" borderId="0" xfId="0" applyNumberFormat="1" applyFill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5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5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167" fontId="0" fillId="0" borderId="22" xfId="0" applyNumberFormat="1" applyBorder="1" applyAlignment="1">
      <alignment horizontal="center"/>
    </xf>
    <xf numFmtId="167" fontId="0" fillId="0" borderId="22" xfId="0" applyNumberFormat="1" applyFill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167" fontId="0" fillId="0" borderId="37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0" borderId="28" xfId="0" applyNumberFormat="1" applyFill="1" applyBorder="1" applyAlignment="1">
      <alignment horizontal="center"/>
    </xf>
    <xf numFmtId="167" fontId="65" fillId="0" borderId="0" xfId="0" applyNumberFormat="1" applyFont="1" applyBorder="1" applyAlignment="1">
      <alignment/>
    </xf>
    <xf numFmtId="167" fontId="65" fillId="0" borderId="0" xfId="0" applyNumberFormat="1" applyFont="1" applyBorder="1" applyAlignment="1">
      <alignment horizontal="left"/>
    </xf>
    <xf numFmtId="1" fontId="76" fillId="36" borderId="0" xfId="0" applyNumberFormat="1" applyFont="1" applyFill="1" applyBorder="1" applyAlignment="1">
      <alignment horizontal="right"/>
    </xf>
    <xf numFmtId="167" fontId="76" fillId="36" borderId="0" xfId="0" applyNumberFormat="1" applyFont="1" applyFill="1" applyBorder="1" applyAlignment="1">
      <alignment horizontal="center"/>
    </xf>
    <xf numFmtId="0" fontId="76" fillId="36" borderId="0" xfId="0" applyFont="1" applyFill="1" applyBorder="1" applyAlignment="1">
      <alignment horizontal="left"/>
    </xf>
    <xf numFmtId="1" fontId="76" fillId="36" borderId="0" xfId="0" applyNumberFormat="1" applyFont="1" applyFill="1" applyBorder="1" applyAlignment="1">
      <alignment/>
    </xf>
    <xf numFmtId="167" fontId="76" fillId="36" borderId="0" xfId="0" applyNumberFormat="1" applyFont="1" applyFill="1" applyBorder="1" applyAlignment="1">
      <alignment horizontal="right"/>
    </xf>
    <xf numFmtId="167" fontId="0" fillId="0" borderId="0" xfId="0" applyNumberFormat="1" applyBorder="1" applyAlignment="1">
      <alignment/>
    </xf>
    <xf numFmtId="166" fontId="0" fillId="0" borderId="21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36" xfId="0" applyNumberFormat="1" applyFill="1" applyBorder="1" applyAlignment="1">
      <alignment horizontal="center"/>
    </xf>
    <xf numFmtId="166" fontId="0" fillId="35" borderId="28" xfId="0" applyNumberFormat="1" applyFill="1" applyBorder="1" applyAlignment="1">
      <alignment horizontal="center"/>
    </xf>
    <xf numFmtId="166" fontId="0" fillId="36" borderId="28" xfId="0" applyNumberFormat="1" applyFill="1" applyBorder="1" applyAlignment="1">
      <alignment horizontal="center"/>
    </xf>
    <xf numFmtId="166" fontId="0" fillId="0" borderId="28" xfId="0" applyNumberFormat="1" applyBorder="1" applyAlignment="1">
      <alignment/>
    </xf>
    <xf numFmtId="166" fontId="0" fillId="15" borderId="28" xfId="0" applyNumberFormat="1" applyFill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9" fontId="0" fillId="35" borderId="28" xfId="0" applyNumberFormat="1" applyFill="1" applyBorder="1" applyAlignment="1">
      <alignment horizontal="center"/>
    </xf>
    <xf numFmtId="169" fontId="0" fillId="36" borderId="28" xfId="0" applyNumberFormat="1" applyFill="1" applyBorder="1" applyAlignment="1">
      <alignment horizontal="center"/>
    </xf>
    <xf numFmtId="169" fontId="0" fillId="0" borderId="28" xfId="0" applyNumberFormat="1" applyBorder="1" applyAlignment="1">
      <alignment/>
    </xf>
    <xf numFmtId="169" fontId="0" fillId="15" borderId="28" xfId="0" applyNumberFormat="1" applyFill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9" fontId="0" fillId="0" borderId="36" xfId="0" applyNumberFormat="1" applyFill="1" applyBorder="1" applyAlignment="1">
      <alignment horizontal="center"/>
    </xf>
    <xf numFmtId="169" fontId="0" fillId="35" borderId="27" xfId="0" applyNumberFormat="1" applyFill="1" applyBorder="1" applyAlignment="1">
      <alignment horizontal="center"/>
    </xf>
    <xf numFmtId="168" fontId="0" fillId="0" borderId="36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28" xfId="0" applyNumberFormat="1" applyBorder="1" applyAlignment="1">
      <alignment/>
    </xf>
    <xf numFmtId="168" fontId="0" fillId="0" borderId="36" xfId="0" applyNumberFormat="1" applyFill="1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168" fontId="0" fillId="35" borderId="27" xfId="0" applyNumberFormat="1" applyFill="1" applyBorder="1" applyAlignment="1">
      <alignment horizontal="center"/>
    </xf>
    <xf numFmtId="168" fontId="0" fillId="36" borderId="28" xfId="0" applyNumberFormat="1" applyFill="1" applyBorder="1" applyAlignment="1">
      <alignment horizontal="center"/>
    </xf>
    <xf numFmtId="168" fontId="0" fillId="15" borderId="28" xfId="0" applyNumberFormat="1" applyFill="1" applyBorder="1" applyAlignment="1">
      <alignment horizontal="center"/>
    </xf>
    <xf numFmtId="168" fontId="0" fillId="35" borderId="28" xfId="0" applyNumberFormat="1" applyFill="1" applyBorder="1" applyAlignment="1">
      <alignment horizontal="center"/>
    </xf>
    <xf numFmtId="168" fontId="0" fillId="0" borderId="41" xfId="0" applyNumberFormat="1" applyBorder="1" applyAlignment="1">
      <alignment horizontal="center"/>
    </xf>
    <xf numFmtId="168" fontId="0" fillId="0" borderId="63" xfId="0" applyNumberFormat="1" applyBorder="1" applyAlignment="1">
      <alignment horizontal="center"/>
    </xf>
    <xf numFmtId="168" fontId="0" fillId="0" borderId="41" xfId="0" applyNumberFormat="1" applyBorder="1" applyAlignment="1">
      <alignment/>
    </xf>
    <xf numFmtId="168" fontId="0" fillId="0" borderId="41" xfId="0" applyNumberFormat="1" applyFill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7" fontId="0" fillId="33" borderId="22" xfId="0" applyNumberFormat="1" applyFill="1" applyBorder="1" applyAlignment="1">
      <alignment horizontal="center"/>
    </xf>
    <xf numFmtId="167" fontId="6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65" fillId="0" borderId="0" xfId="0" applyNumberFormat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Border="1" applyAlignment="1">
      <alignment horizontal="right"/>
    </xf>
    <xf numFmtId="0" fontId="73" fillId="0" borderId="15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3" fillId="0" borderId="23" xfId="0" applyFont="1" applyFill="1" applyBorder="1" applyAlignment="1">
      <alignment horizontal="center"/>
    </xf>
    <xf numFmtId="169" fontId="77" fillId="0" borderId="28" xfId="0" applyNumberFormat="1" applyFont="1" applyBorder="1" applyAlignment="1">
      <alignment horizontal="center"/>
    </xf>
    <xf numFmtId="169" fontId="77" fillId="0" borderId="21" xfId="0" applyNumberFormat="1" applyFont="1" applyBorder="1" applyAlignment="1">
      <alignment horizontal="center"/>
    </xf>
    <xf numFmtId="169" fontId="77" fillId="0" borderId="36" xfId="0" applyNumberFormat="1" applyFont="1" applyBorder="1" applyAlignment="1">
      <alignment horizontal="center"/>
    </xf>
    <xf numFmtId="169" fontId="77" fillId="0" borderId="36" xfId="0" applyNumberFormat="1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67" fillId="0" borderId="21" xfId="0" applyFont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167" fontId="0" fillId="0" borderId="35" xfId="0" applyNumberFormat="1" applyFill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4" borderId="59" xfId="0" applyNumberFormat="1" applyFill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66" fontId="0" fillId="0" borderId="27" xfId="0" applyNumberFormat="1" applyFill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78" fillId="0" borderId="12" xfId="0" applyFont="1" applyBorder="1" applyAlignment="1">
      <alignment/>
    </xf>
    <xf numFmtId="0" fontId="69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6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6.emf" /><Relationship Id="rId13" Type="http://schemas.openxmlformats.org/officeDocument/2006/relationships/image" Target="../media/image11.emf" /><Relationship Id="rId14" Type="http://schemas.openxmlformats.org/officeDocument/2006/relationships/image" Target="../media/image6.emf" /><Relationship Id="rId15" Type="http://schemas.openxmlformats.org/officeDocument/2006/relationships/image" Target="../media/image12.emf" /><Relationship Id="rId16" Type="http://schemas.openxmlformats.org/officeDocument/2006/relationships/image" Target="../media/image6.emf" /><Relationship Id="rId17" Type="http://schemas.openxmlformats.org/officeDocument/2006/relationships/image" Target="../media/image13.emf" /><Relationship Id="rId18" Type="http://schemas.openxmlformats.org/officeDocument/2006/relationships/image" Target="../media/image6.emf" /><Relationship Id="rId19" Type="http://schemas.openxmlformats.org/officeDocument/2006/relationships/image" Target="../media/image14.emf" /><Relationship Id="rId20" Type="http://schemas.openxmlformats.org/officeDocument/2006/relationships/image" Target="../media/image15.emf" /><Relationship Id="rId21" Type="http://schemas.openxmlformats.org/officeDocument/2006/relationships/image" Target="../media/image14.emf" /><Relationship Id="rId22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78</xdr:row>
      <xdr:rowOff>19050</xdr:rowOff>
    </xdr:from>
    <xdr:to>
      <xdr:col>22</xdr:col>
      <xdr:colOff>9525</xdr:colOff>
      <xdr:row>92</xdr:row>
      <xdr:rowOff>38100</xdr:rowOff>
    </xdr:to>
    <xdr:grpSp>
      <xdr:nvGrpSpPr>
        <xdr:cNvPr id="1" name="Group 46"/>
        <xdr:cNvGrpSpPr>
          <a:grpSpLocks/>
        </xdr:cNvGrpSpPr>
      </xdr:nvGrpSpPr>
      <xdr:grpSpPr>
        <a:xfrm>
          <a:off x="8105775" y="15135225"/>
          <a:ext cx="4010025" cy="2705100"/>
          <a:chOff x="600075" y="952500"/>
          <a:chExt cx="4276725" cy="2695575"/>
        </a:xfrm>
        <a:solidFill>
          <a:srgbClr val="FFFFFF"/>
        </a:solidFill>
      </xdr:grpSpPr>
      <xdr:grpSp>
        <xdr:nvGrpSpPr>
          <xdr:cNvPr id="2" name="Group 34"/>
          <xdr:cNvGrpSpPr>
            <a:grpSpLocks/>
          </xdr:cNvGrpSpPr>
        </xdr:nvGrpSpPr>
        <xdr:grpSpPr>
          <a:xfrm>
            <a:off x="1199886" y="1143212"/>
            <a:ext cx="3676914" cy="2504863"/>
            <a:chOff x="1200150" y="561975"/>
            <a:chExt cx="3695700" cy="2505075"/>
          </a:xfrm>
          <a:solidFill>
            <a:srgbClr val="FFFFFF"/>
          </a:solidFill>
        </xdr:grpSpPr>
        <xdr:grpSp>
          <xdr:nvGrpSpPr>
            <xdr:cNvPr id="3" name="Group 14"/>
            <xdr:cNvGrpSpPr>
              <a:grpSpLocks/>
            </xdr:cNvGrpSpPr>
          </xdr:nvGrpSpPr>
          <xdr:grpSpPr>
            <a:xfrm>
              <a:off x="2590657" y="839412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4" name="Freeform 11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" name="Straight Arrow Connector 13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" name="Group 15"/>
            <xdr:cNvGrpSpPr>
              <a:grpSpLocks/>
            </xdr:cNvGrpSpPr>
          </xdr:nvGrpSpPr>
          <xdr:grpSpPr>
            <a:xfrm>
              <a:off x="1838582" y="2044353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7" name="Freeform 16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" name="Straight Arrow Connector 17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9" name="Group 18"/>
            <xdr:cNvGrpSpPr>
              <a:grpSpLocks/>
            </xdr:cNvGrpSpPr>
          </xdr:nvGrpSpPr>
          <xdr:grpSpPr>
            <a:xfrm>
              <a:off x="3571865" y="2216577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10" name="Freeform 19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" name="Straight Arrow Connector 20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2" name="Straight Connector 26"/>
            <xdr:cNvSpPr>
              <a:spLocks/>
            </xdr:cNvSpPr>
          </xdr:nvSpPr>
          <xdr:spPr>
            <a:xfrm>
              <a:off x="1219552" y="571369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Straight Connector 28"/>
            <xdr:cNvSpPr>
              <a:spLocks/>
            </xdr:cNvSpPr>
          </xdr:nvSpPr>
          <xdr:spPr>
            <a:xfrm>
              <a:off x="1209389" y="1704915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Straight Connector 29"/>
            <xdr:cNvSpPr>
              <a:spLocks/>
            </xdr:cNvSpPr>
          </xdr:nvSpPr>
          <xdr:spPr>
            <a:xfrm>
              <a:off x="1200150" y="3048262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Straight Connector 31"/>
            <xdr:cNvSpPr>
              <a:spLocks/>
            </xdr:cNvSpPr>
          </xdr:nvSpPr>
          <xdr:spPr>
            <a:xfrm flipH="1">
              <a:off x="1209389" y="571369"/>
              <a:ext cx="19402" cy="2466873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Straight Connector 33"/>
            <xdr:cNvSpPr>
              <a:spLocks/>
            </xdr:cNvSpPr>
          </xdr:nvSpPr>
          <xdr:spPr>
            <a:xfrm>
              <a:off x="4886611" y="561975"/>
              <a:ext cx="0" cy="2505075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7" name="Straight Connector 36"/>
          <xdr:cNvSpPr>
            <a:spLocks/>
          </xdr:cNvSpPr>
        </xdr:nvSpPr>
        <xdr:spPr>
          <a:xfrm>
            <a:off x="3038877" y="2276701"/>
            <a:ext cx="9623" cy="134307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37"/>
          <xdr:cNvSpPr>
            <a:spLocks/>
          </xdr:cNvSpPr>
        </xdr:nvSpPr>
        <xdr:spPr>
          <a:xfrm>
            <a:off x="638566" y="952500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Straight Arrow Connector 39"/>
          <xdr:cNvSpPr>
            <a:spLocks/>
          </xdr:cNvSpPr>
        </xdr:nvSpPr>
        <xdr:spPr>
          <a:xfrm>
            <a:off x="971081" y="115264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Rectangle 42"/>
          <xdr:cNvSpPr>
            <a:spLocks/>
          </xdr:cNvSpPr>
        </xdr:nvSpPr>
        <xdr:spPr>
          <a:xfrm>
            <a:off x="648188" y="1000346"/>
            <a:ext cx="323962" cy="161735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Rectangle 43"/>
          <xdr:cNvSpPr>
            <a:spLocks/>
          </xdr:cNvSpPr>
        </xdr:nvSpPr>
        <xdr:spPr>
          <a:xfrm>
            <a:off x="609698" y="3466798"/>
            <a:ext cx="323962" cy="152300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Straight Arrow Connector 44"/>
          <xdr:cNvSpPr>
            <a:spLocks/>
          </xdr:cNvSpPr>
        </xdr:nvSpPr>
        <xdr:spPr>
          <a:xfrm>
            <a:off x="943282" y="362920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Freeform 45"/>
          <xdr:cNvSpPr>
            <a:spLocks/>
          </xdr:cNvSpPr>
        </xdr:nvSpPr>
        <xdr:spPr>
          <a:xfrm>
            <a:off x="600075" y="3419625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542925</xdr:colOff>
      <xdr:row>79</xdr:row>
      <xdr:rowOff>19050</xdr:rowOff>
    </xdr:from>
    <xdr:to>
      <xdr:col>16</xdr:col>
      <xdr:colOff>76200</xdr:colOff>
      <xdr:row>79</xdr:row>
      <xdr:rowOff>104775</xdr:rowOff>
    </xdr:to>
    <xdr:sp>
      <xdr:nvSpPr>
        <xdr:cNvPr id="24" name="Straight Arrow Connector 2"/>
        <xdr:cNvSpPr>
          <a:spLocks/>
        </xdr:cNvSpPr>
      </xdr:nvSpPr>
      <xdr:spPr>
        <a:xfrm>
          <a:off x="8648700" y="15335250"/>
          <a:ext cx="1047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542925</xdr:colOff>
      <xdr:row>85</xdr:row>
      <xdr:rowOff>9525</xdr:rowOff>
    </xdr:from>
    <xdr:to>
      <xdr:col>16</xdr:col>
      <xdr:colOff>76200</xdr:colOff>
      <xdr:row>85</xdr:row>
      <xdr:rowOff>95250</xdr:rowOff>
    </xdr:to>
    <xdr:sp>
      <xdr:nvSpPr>
        <xdr:cNvPr id="25" name="Straight Arrow Connector 30"/>
        <xdr:cNvSpPr>
          <a:spLocks/>
        </xdr:cNvSpPr>
      </xdr:nvSpPr>
      <xdr:spPr>
        <a:xfrm>
          <a:off x="8648700" y="16478250"/>
          <a:ext cx="1047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542925</xdr:colOff>
      <xdr:row>84</xdr:row>
      <xdr:rowOff>180975</xdr:rowOff>
    </xdr:from>
    <xdr:to>
      <xdr:col>19</xdr:col>
      <xdr:colOff>76200</xdr:colOff>
      <xdr:row>85</xdr:row>
      <xdr:rowOff>76200</xdr:rowOff>
    </xdr:to>
    <xdr:sp>
      <xdr:nvSpPr>
        <xdr:cNvPr id="26" name="Straight Arrow Connector 32"/>
        <xdr:cNvSpPr>
          <a:spLocks/>
        </xdr:cNvSpPr>
      </xdr:nvSpPr>
      <xdr:spPr>
        <a:xfrm>
          <a:off x="10363200" y="16459200"/>
          <a:ext cx="1047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542925</xdr:colOff>
      <xdr:row>91</xdr:row>
      <xdr:rowOff>104775</xdr:rowOff>
    </xdr:from>
    <xdr:to>
      <xdr:col>16</xdr:col>
      <xdr:colOff>123825</xdr:colOff>
      <xdr:row>92</xdr:row>
      <xdr:rowOff>9525</xdr:rowOff>
    </xdr:to>
    <xdr:sp>
      <xdr:nvSpPr>
        <xdr:cNvPr id="27" name="Straight Arrow Connector 35"/>
        <xdr:cNvSpPr>
          <a:spLocks/>
        </xdr:cNvSpPr>
      </xdr:nvSpPr>
      <xdr:spPr>
        <a:xfrm flipV="1">
          <a:off x="8648700" y="17716500"/>
          <a:ext cx="15240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561975</xdr:colOff>
      <xdr:row>91</xdr:row>
      <xdr:rowOff>95250</xdr:rowOff>
    </xdr:from>
    <xdr:to>
      <xdr:col>19</xdr:col>
      <xdr:colOff>142875</xdr:colOff>
      <xdr:row>92</xdr:row>
      <xdr:rowOff>0</xdr:rowOff>
    </xdr:to>
    <xdr:sp>
      <xdr:nvSpPr>
        <xdr:cNvPr id="28" name="Straight Arrow Connector 40"/>
        <xdr:cNvSpPr>
          <a:spLocks/>
        </xdr:cNvSpPr>
      </xdr:nvSpPr>
      <xdr:spPr>
        <a:xfrm flipV="1">
          <a:off x="10382250" y="17706975"/>
          <a:ext cx="15240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400050</xdr:colOff>
      <xdr:row>84</xdr:row>
      <xdr:rowOff>180975</xdr:rowOff>
    </xdr:from>
    <xdr:to>
      <xdr:col>21</xdr:col>
      <xdr:colOff>571500</xdr:colOff>
      <xdr:row>85</xdr:row>
      <xdr:rowOff>66675</xdr:rowOff>
    </xdr:to>
    <xdr:sp>
      <xdr:nvSpPr>
        <xdr:cNvPr id="29" name="Straight Arrow Connector 41"/>
        <xdr:cNvSpPr>
          <a:spLocks/>
        </xdr:cNvSpPr>
      </xdr:nvSpPr>
      <xdr:spPr>
        <a:xfrm flipH="1">
          <a:off x="11934825" y="16459200"/>
          <a:ext cx="171450" cy="76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419100</xdr:colOff>
      <xdr:row>79</xdr:row>
      <xdr:rowOff>28575</xdr:rowOff>
    </xdr:from>
    <xdr:to>
      <xdr:col>21</xdr:col>
      <xdr:colOff>571500</xdr:colOff>
      <xdr:row>79</xdr:row>
      <xdr:rowOff>104775</xdr:rowOff>
    </xdr:to>
    <xdr:sp>
      <xdr:nvSpPr>
        <xdr:cNvPr id="30" name="Straight Arrow Connector 53"/>
        <xdr:cNvSpPr>
          <a:spLocks/>
        </xdr:cNvSpPr>
      </xdr:nvSpPr>
      <xdr:spPr>
        <a:xfrm flipH="1">
          <a:off x="11953875" y="15344775"/>
          <a:ext cx="152400" cy="76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476250</xdr:colOff>
      <xdr:row>91</xdr:row>
      <xdr:rowOff>104775</xdr:rowOff>
    </xdr:from>
    <xdr:to>
      <xdr:col>21</xdr:col>
      <xdr:colOff>571500</xdr:colOff>
      <xdr:row>92</xdr:row>
      <xdr:rowOff>0</xdr:rowOff>
    </xdr:to>
    <xdr:sp>
      <xdr:nvSpPr>
        <xdr:cNvPr id="31" name="Straight Arrow Connector 54"/>
        <xdr:cNvSpPr>
          <a:spLocks/>
        </xdr:cNvSpPr>
      </xdr:nvSpPr>
      <xdr:spPr>
        <a:xfrm flipH="1" flipV="1">
          <a:off x="12011025" y="17716500"/>
          <a:ext cx="95250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133350</xdr:colOff>
      <xdr:row>92</xdr:row>
      <xdr:rowOff>9525</xdr:rowOff>
    </xdr:from>
    <xdr:to>
      <xdr:col>21</xdr:col>
      <xdr:colOff>390525</xdr:colOff>
      <xdr:row>92</xdr:row>
      <xdr:rowOff>9525</xdr:rowOff>
    </xdr:to>
    <xdr:sp>
      <xdr:nvSpPr>
        <xdr:cNvPr id="32" name="Straight Arrow Connector 9"/>
        <xdr:cNvSpPr>
          <a:spLocks/>
        </xdr:cNvSpPr>
      </xdr:nvSpPr>
      <xdr:spPr>
        <a:xfrm>
          <a:off x="11668125" y="1781175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87</xdr:row>
      <xdr:rowOff>171450</xdr:rowOff>
    </xdr:from>
    <xdr:to>
      <xdr:col>22</xdr:col>
      <xdr:colOff>0</xdr:colOff>
      <xdr:row>89</xdr:row>
      <xdr:rowOff>38100</xdr:rowOff>
    </xdr:to>
    <xdr:sp>
      <xdr:nvSpPr>
        <xdr:cNvPr id="33" name="Straight Arrow Connector 12"/>
        <xdr:cNvSpPr>
          <a:spLocks/>
        </xdr:cNvSpPr>
      </xdr:nvSpPr>
      <xdr:spPr>
        <a:xfrm flipH="1">
          <a:off x="12106275" y="1702117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390525</xdr:colOff>
      <xdr:row>79</xdr:row>
      <xdr:rowOff>0</xdr:rowOff>
    </xdr:from>
    <xdr:to>
      <xdr:col>19</xdr:col>
      <xdr:colOff>38100</xdr:colOff>
      <xdr:row>79</xdr:row>
      <xdr:rowOff>0</xdr:rowOff>
    </xdr:to>
    <xdr:sp>
      <xdr:nvSpPr>
        <xdr:cNvPr id="34" name="Straight Arrow Connector 59"/>
        <xdr:cNvSpPr>
          <a:spLocks/>
        </xdr:cNvSpPr>
      </xdr:nvSpPr>
      <xdr:spPr>
        <a:xfrm>
          <a:off x="10210800" y="15316200"/>
          <a:ext cx="2190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209550</xdr:colOff>
      <xdr:row>85</xdr:row>
      <xdr:rowOff>0</xdr:rowOff>
    </xdr:from>
    <xdr:to>
      <xdr:col>17</xdr:col>
      <xdr:colOff>466725</xdr:colOff>
      <xdr:row>85</xdr:row>
      <xdr:rowOff>0</xdr:rowOff>
    </xdr:to>
    <xdr:sp>
      <xdr:nvSpPr>
        <xdr:cNvPr id="35" name="Straight Arrow Connector 60"/>
        <xdr:cNvSpPr>
          <a:spLocks/>
        </xdr:cNvSpPr>
      </xdr:nvSpPr>
      <xdr:spPr>
        <a:xfrm>
          <a:off x="9458325" y="1646872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571500</xdr:colOff>
      <xdr:row>82</xdr:row>
      <xdr:rowOff>19050</xdr:rowOff>
    </xdr:from>
    <xdr:to>
      <xdr:col>21</xdr:col>
      <xdr:colOff>571500</xdr:colOff>
      <xdr:row>83</xdr:row>
      <xdr:rowOff>76200</xdr:rowOff>
    </xdr:to>
    <xdr:sp>
      <xdr:nvSpPr>
        <xdr:cNvPr id="36" name="Straight Arrow Connector 61"/>
        <xdr:cNvSpPr>
          <a:spLocks/>
        </xdr:cNvSpPr>
      </xdr:nvSpPr>
      <xdr:spPr>
        <a:xfrm flipH="1">
          <a:off x="12106275" y="1591627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171450</xdr:colOff>
      <xdr:row>85</xdr:row>
      <xdr:rowOff>9525</xdr:rowOff>
    </xdr:from>
    <xdr:to>
      <xdr:col>20</xdr:col>
      <xdr:colOff>428625</xdr:colOff>
      <xdr:row>85</xdr:row>
      <xdr:rowOff>9525</xdr:rowOff>
    </xdr:to>
    <xdr:sp>
      <xdr:nvSpPr>
        <xdr:cNvPr id="37" name="Straight Arrow Connector 62"/>
        <xdr:cNvSpPr>
          <a:spLocks/>
        </xdr:cNvSpPr>
      </xdr:nvSpPr>
      <xdr:spPr>
        <a:xfrm>
          <a:off x="11134725" y="1647825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266700</xdr:colOff>
      <xdr:row>92</xdr:row>
      <xdr:rowOff>9525</xdr:rowOff>
    </xdr:from>
    <xdr:to>
      <xdr:col>17</xdr:col>
      <xdr:colOff>523875</xdr:colOff>
      <xdr:row>92</xdr:row>
      <xdr:rowOff>9525</xdr:rowOff>
    </xdr:to>
    <xdr:sp>
      <xdr:nvSpPr>
        <xdr:cNvPr id="38" name="Straight Arrow Connector 63"/>
        <xdr:cNvSpPr>
          <a:spLocks/>
        </xdr:cNvSpPr>
      </xdr:nvSpPr>
      <xdr:spPr>
        <a:xfrm>
          <a:off x="9515475" y="1781175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86</xdr:row>
      <xdr:rowOff>142875</xdr:rowOff>
    </xdr:from>
    <xdr:to>
      <xdr:col>19</xdr:col>
      <xdr:colOff>0</xdr:colOff>
      <xdr:row>88</xdr:row>
      <xdr:rowOff>9525</xdr:rowOff>
    </xdr:to>
    <xdr:sp>
      <xdr:nvSpPr>
        <xdr:cNvPr id="39" name="Straight Arrow Connector 64"/>
        <xdr:cNvSpPr>
          <a:spLocks/>
        </xdr:cNvSpPr>
      </xdr:nvSpPr>
      <xdr:spPr>
        <a:xfrm flipH="1">
          <a:off x="10391775" y="1680210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87</xdr:row>
      <xdr:rowOff>142875</xdr:rowOff>
    </xdr:from>
    <xdr:to>
      <xdr:col>16</xdr:col>
      <xdr:colOff>0</xdr:colOff>
      <xdr:row>89</xdr:row>
      <xdr:rowOff>9525</xdr:rowOff>
    </xdr:to>
    <xdr:sp>
      <xdr:nvSpPr>
        <xdr:cNvPr id="40" name="Straight Arrow Connector 67"/>
        <xdr:cNvSpPr>
          <a:spLocks/>
        </xdr:cNvSpPr>
      </xdr:nvSpPr>
      <xdr:spPr>
        <a:xfrm flipH="1">
          <a:off x="8677275" y="1699260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81</xdr:row>
      <xdr:rowOff>95250</xdr:rowOff>
    </xdr:from>
    <xdr:to>
      <xdr:col>16</xdr:col>
      <xdr:colOff>9525</xdr:colOff>
      <xdr:row>82</xdr:row>
      <xdr:rowOff>152400</xdr:rowOff>
    </xdr:to>
    <xdr:sp>
      <xdr:nvSpPr>
        <xdr:cNvPr id="41" name="Straight Arrow Connector 69"/>
        <xdr:cNvSpPr>
          <a:spLocks/>
        </xdr:cNvSpPr>
      </xdr:nvSpPr>
      <xdr:spPr>
        <a:xfrm flipH="1">
          <a:off x="8686800" y="1580197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28</xdr:col>
      <xdr:colOff>381000</xdr:colOff>
      <xdr:row>115</xdr:row>
      <xdr:rowOff>76200</xdr:rowOff>
    </xdr:from>
    <xdr:to>
      <xdr:col>34</xdr:col>
      <xdr:colOff>476250</xdr:colOff>
      <xdr:row>131</xdr:row>
      <xdr:rowOff>19050</xdr:rowOff>
    </xdr:to>
    <xdr:pic>
      <xdr:nvPicPr>
        <xdr:cNvPr id="4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16275" y="22393275"/>
          <a:ext cx="35242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314325</xdr:colOff>
      <xdr:row>244</xdr:row>
      <xdr:rowOff>47625</xdr:rowOff>
    </xdr:from>
    <xdr:to>
      <xdr:col>19</xdr:col>
      <xdr:colOff>571500</xdr:colOff>
      <xdr:row>246</xdr:row>
      <xdr:rowOff>133350</xdr:rowOff>
    </xdr:to>
    <xdr:grpSp>
      <xdr:nvGrpSpPr>
        <xdr:cNvPr id="43" name="Group 22"/>
        <xdr:cNvGrpSpPr>
          <a:grpSpLocks/>
        </xdr:cNvGrpSpPr>
      </xdr:nvGrpSpPr>
      <xdr:grpSpPr>
        <a:xfrm>
          <a:off x="10706100" y="47644050"/>
          <a:ext cx="257175" cy="466725"/>
          <a:chOff x="10763250" y="33870900"/>
          <a:chExt cx="257175" cy="466725"/>
        </a:xfrm>
        <a:solidFill>
          <a:srgbClr val="FFFFFF"/>
        </a:solidFill>
      </xdr:grpSpPr>
      <xdr:sp>
        <xdr:nvSpPr>
          <xdr:cNvPr id="44" name="Straight Arrow Connector 8"/>
          <xdr:cNvSpPr>
            <a:spLocks/>
          </xdr:cNvSpPr>
        </xdr:nvSpPr>
        <xdr:spPr>
          <a:xfrm flipV="1">
            <a:off x="10763250" y="33870900"/>
            <a:ext cx="0" cy="457157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Straight Connector 21"/>
          <xdr:cNvSpPr>
            <a:spLocks/>
          </xdr:cNvSpPr>
        </xdr:nvSpPr>
        <xdr:spPr>
          <a:xfrm>
            <a:off x="10763250" y="34337625"/>
            <a:ext cx="257175" cy="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552450</xdr:colOff>
      <xdr:row>244</xdr:row>
      <xdr:rowOff>152400</xdr:rowOff>
    </xdr:from>
    <xdr:to>
      <xdr:col>18</xdr:col>
      <xdr:colOff>352425</xdr:colOff>
      <xdr:row>246</xdr:row>
      <xdr:rowOff>123825</xdr:rowOff>
    </xdr:to>
    <xdr:grpSp>
      <xdr:nvGrpSpPr>
        <xdr:cNvPr id="46" name="Group 5157"/>
        <xdr:cNvGrpSpPr>
          <a:grpSpLocks/>
        </xdr:cNvGrpSpPr>
      </xdr:nvGrpSpPr>
      <xdr:grpSpPr>
        <a:xfrm>
          <a:off x="9229725" y="47748825"/>
          <a:ext cx="942975" cy="352425"/>
          <a:chOff x="10391775" y="40547925"/>
          <a:chExt cx="847725" cy="352425"/>
        </a:xfrm>
        <a:solidFill>
          <a:srgbClr val="FFFFFF"/>
        </a:solidFill>
      </xdr:grpSpPr>
      <xdr:sp>
        <xdr:nvSpPr>
          <xdr:cNvPr id="47" name="Straight Connector 5154"/>
          <xdr:cNvSpPr>
            <a:spLocks/>
          </xdr:cNvSpPr>
        </xdr:nvSpPr>
        <xdr:spPr>
          <a:xfrm>
            <a:off x="10391775" y="40890835"/>
            <a:ext cx="828651" cy="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Straight Arrow Connector 5156"/>
          <xdr:cNvSpPr>
            <a:spLocks/>
          </xdr:cNvSpPr>
        </xdr:nvSpPr>
        <xdr:spPr>
          <a:xfrm flipV="1">
            <a:off x="11239500" y="40547925"/>
            <a:ext cx="0" cy="352425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571500</xdr:colOff>
      <xdr:row>307</xdr:row>
      <xdr:rowOff>0</xdr:rowOff>
    </xdr:from>
    <xdr:to>
      <xdr:col>23</xdr:col>
      <xdr:colOff>0</xdr:colOff>
      <xdr:row>321</xdr:row>
      <xdr:rowOff>28575</xdr:rowOff>
    </xdr:to>
    <xdr:grpSp>
      <xdr:nvGrpSpPr>
        <xdr:cNvPr id="49" name="Group 106"/>
        <xdr:cNvGrpSpPr>
          <a:grpSpLocks/>
        </xdr:cNvGrpSpPr>
      </xdr:nvGrpSpPr>
      <xdr:grpSpPr>
        <a:xfrm>
          <a:off x="8677275" y="59778900"/>
          <a:ext cx="4000500" cy="2724150"/>
          <a:chOff x="600075" y="952500"/>
          <a:chExt cx="4276725" cy="2695575"/>
        </a:xfrm>
        <a:solidFill>
          <a:srgbClr val="FFFFFF"/>
        </a:solidFill>
      </xdr:grpSpPr>
      <xdr:grpSp>
        <xdr:nvGrpSpPr>
          <xdr:cNvPr id="50" name="Group 107"/>
          <xdr:cNvGrpSpPr>
            <a:grpSpLocks/>
          </xdr:cNvGrpSpPr>
        </xdr:nvGrpSpPr>
        <xdr:grpSpPr>
          <a:xfrm>
            <a:off x="1199886" y="1143212"/>
            <a:ext cx="3676914" cy="2504863"/>
            <a:chOff x="1200150" y="561975"/>
            <a:chExt cx="3695700" cy="2505075"/>
          </a:xfrm>
          <a:solidFill>
            <a:srgbClr val="FFFFFF"/>
          </a:solidFill>
        </xdr:grpSpPr>
        <xdr:grpSp>
          <xdr:nvGrpSpPr>
            <xdr:cNvPr id="51" name="Group 115"/>
            <xdr:cNvGrpSpPr>
              <a:grpSpLocks/>
            </xdr:cNvGrpSpPr>
          </xdr:nvGrpSpPr>
          <xdr:grpSpPr>
            <a:xfrm>
              <a:off x="2590657" y="839412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52" name="Freeform 131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Straight Arrow Connector 133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4" name="Group 116"/>
            <xdr:cNvGrpSpPr>
              <a:grpSpLocks/>
            </xdr:cNvGrpSpPr>
          </xdr:nvGrpSpPr>
          <xdr:grpSpPr>
            <a:xfrm>
              <a:off x="1838582" y="2044353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55" name="Freeform 128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Straight Arrow Connector 129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7" name="Group 117"/>
            <xdr:cNvGrpSpPr>
              <a:grpSpLocks/>
            </xdr:cNvGrpSpPr>
          </xdr:nvGrpSpPr>
          <xdr:grpSpPr>
            <a:xfrm>
              <a:off x="3571865" y="2216577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58" name="Freeform 124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Straight Arrow Connector 126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60" name="Straight Connector 118"/>
            <xdr:cNvSpPr>
              <a:spLocks/>
            </xdr:cNvSpPr>
          </xdr:nvSpPr>
          <xdr:spPr>
            <a:xfrm>
              <a:off x="1219552" y="571369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1" name="Straight Connector 119"/>
            <xdr:cNvSpPr>
              <a:spLocks/>
            </xdr:cNvSpPr>
          </xdr:nvSpPr>
          <xdr:spPr>
            <a:xfrm>
              <a:off x="1209389" y="1704915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2" name="Straight Connector 120"/>
            <xdr:cNvSpPr>
              <a:spLocks/>
            </xdr:cNvSpPr>
          </xdr:nvSpPr>
          <xdr:spPr>
            <a:xfrm>
              <a:off x="1200150" y="3048262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3" name="Straight Connector 121"/>
            <xdr:cNvSpPr>
              <a:spLocks/>
            </xdr:cNvSpPr>
          </xdr:nvSpPr>
          <xdr:spPr>
            <a:xfrm flipH="1">
              <a:off x="1209389" y="571369"/>
              <a:ext cx="19402" cy="2466873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4" name="Straight Connector 123"/>
            <xdr:cNvSpPr>
              <a:spLocks/>
            </xdr:cNvSpPr>
          </xdr:nvSpPr>
          <xdr:spPr>
            <a:xfrm>
              <a:off x="4886611" y="561975"/>
              <a:ext cx="0" cy="2505075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65" name="Straight Connector 108"/>
          <xdr:cNvSpPr>
            <a:spLocks/>
          </xdr:cNvSpPr>
        </xdr:nvSpPr>
        <xdr:spPr>
          <a:xfrm>
            <a:off x="3038877" y="2276701"/>
            <a:ext cx="9623" cy="134307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Freeform 109"/>
          <xdr:cNvSpPr>
            <a:spLocks/>
          </xdr:cNvSpPr>
        </xdr:nvSpPr>
        <xdr:spPr>
          <a:xfrm>
            <a:off x="638566" y="952500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Straight Arrow Connector 110"/>
          <xdr:cNvSpPr>
            <a:spLocks/>
          </xdr:cNvSpPr>
        </xdr:nvSpPr>
        <xdr:spPr>
          <a:xfrm>
            <a:off x="971081" y="115264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Rectangle 111"/>
          <xdr:cNvSpPr>
            <a:spLocks/>
          </xdr:cNvSpPr>
        </xdr:nvSpPr>
        <xdr:spPr>
          <a:xfrm>
            <a:off x="648188" y="1000346"/>
            <a:ext cx="323962" cy="161735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Rectangle 112"/>
          <xdr:cNvSpPr>
            <a:spLocks/>
          </xdr:cNvSpPr>
        </xdr:nvSpPr>
        <xdr:spPr>
          <a:xfrm>
            <a:off x="609698" y="3466798"/>
            <a:ext cx="323962" cy="152300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Straight Arrow Connector 113"/>
          <xdr:cNvSpPr>
            <a:spLocks/>
          </xdr:cNvSpPr>
        </xdr:nvSpPr>
        <xdr:spPr>
          <a:xfrm>
            <a:off x="943282" y="362920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Freeform 114"/>
          <xdr:cNvSpPr>
            <a:spLocks/>
          </xdr:cNvSpPr>
        </xdr:nvSpPr>
        <xdr:spPr>
          <a:xfrm>
            <a:off x="600075" y="3419625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9525</xdr:colOff>
      <xdr:row>307</xdr:row>
      <xdr:rowOff>209550</xdr:rowOff>
    </xdr:from>
    <xdr:to>
      <xdr:col>17</xdr:col>
      <xdr:colOff>152400</xdr:colOff>
      <xdr:row>308</xdr:row>
      <xdr:rowOff>76200</xdr:rowOff>
    </xdr:to>
    <xdr:sp>
      <xdr:nvSpPr>
        <xdr:cNvPr id="72" name="Straight Arrow Connector 135"/>
        <xdr:cNvSpPr>
          <a:spLocks/>
        </xdr:cNvSpPr>
      </xdr:nvSpPr>
      <xdr:spPr>
        <a:xfrm>
          <a:off x="9258300" y="59988450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314</xdr:row>
      <xdr:rowOff>0</xdr:rowOff>
    </xdr:from>
    <xdr:to>
      <xdr:col>17</xdr:col>
      <xdr:colOff>190500</xdr:colOff>
      <xdr:row>314</xdr:row>
      <xdr:rowOff>85725</xdr:rowOff>
    </xdr:to>
    <xdr:sp>
      <xdr:nvSpPr>
        <xdr:cNvPr id="73" name="Straight Arrow Connector 136"/>
        <xdr:cNvSpPr>
          <a:spLocks/>
        </xdr:cNvSpPr>
      </xdr:nvSpPr>
      <xdr:spPr>
        <a:xfrm>
          <a:off x="9296400" y="61140975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85725</xdr:colOff>
      <xdr:row>314</xdr:row>
      <xdr:rowOff>9525</xdr:rowOff>
    </xdr:from>
    <xdr:to>
      <xdr:col>20</xdr:col>
      <xdr:colOff>228600</xdr:colOff>
      <xdr:row>314</xdr:row>
      <xdr:rowOff>95250</xdr:rowOff>
    </xdr:to>
    <xdr:sp>
      <xdr:nvSpPr>
        <xdr:cNvPr id="74" name="Straight Arrow Connector 137"/>
        <xdr:cNvSpPr>
          <a:spLocks/>
        </xdr:cNvSpPr>
      </xdr:nvSpPr>
      <xdr:spPr>
        <a:xfrm>
          <a:off x="11049000" y="61150500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571500</xdr:colOff>
      <xdr:row>320</xdr:row>
      <xdr:rowOff>95250</xdr:rowOff>
    </xdr:from>
    <xdr:to>
      <xdr:col>17</xdr:col>
      <xdr:colOff>171450</xdr:colOff>
      <xdr:row>321</xdr:row>
      <xdr:rowOff>0</xdr:rowOff>
    </xdr:to>
    <xdr:sp>
      <xdr:nvSpPr>
        <xdr:cNvPr id="75" name="Straight Arrow Connector 139"/>
        <xdr:cNvSpPr>
          <a:spLocks/>
        </xdr:cNvSpPr>
      </xdr:nvSpPr>
      <xdr:spPr>
        <a:xfrm flipV="1">
          <a:off x="9248775" y="62379225"/>
          <a:ext cx="17145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76200</xdr:colOff>
      <xdr:row>320</xdr:row>
      <xdr:rowOff>95250</xdr:rowOff>
    </xdr:from>
    <xdr:to>
      <xdr:col>20</xdr:col>
      <xdr:colOff>266700</xdr:colOff>
      <xdr:row>321</xdr:row>
      <xdr:rowOff>0</xdr:rowOff>
    </xdr:to>
    <xdr:sp>
      <xdr:nvSpPr>
        <xdr:cNvPr id="76" name="Straight Arrow Connector 141"/>
        <xdr:cNvSpPr>
          <a:spLocks/>
        </xdr:cNvSpPr>
      </xdr:nvSpPr>
      <xdr:spPr>
        <a:xfrm flipV="1">
          <a:off x="11039475" y="62379225"/>
          <a:ext cx="19050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571500</xdr:colOff>
      <xdr:row>314</xdr:row>
      <xdr:rowOff>9525</xdr:rowOff>
    </xdr:from>
    <xdr:to>
      <xdr:col>22</xdr:col>
      <xdr:colOff>571500</xdr:colOff>
      <xdr:row>314</xdr:row>
      <xdr:rowOff>85725</xdr:rowOff>
    </xdr:to>
    <xdr:sp>
      <xdr:nvSpPr>
        <xdr:cNvPr id="77" name="Straight Arrow Connector 143"/>
        <xdr:cNvSpPr>
          <a:spLocks/>
        </xdr:cNvSpPr>
      </xdr:nvSpPr>
      <xdr:spPr>
        <a:xfrm flipH="1">
          <a:off x="12677775" y="61150500"/>
          <a:ext cx="0" cy="76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428625</xdr:colOff>
      <xdr:row>308</xdr:row>
      <xdr:rowOff>9525</xdr:rowOff>
    </xdr:from>
    <xdr:to>
      <xdr:col>22</xdr:col>
      <xdr:colOff>571500</xdr:colOff>
      <xdr:row>308</xdr:row>
      <xdr:rowOff>85725</xdr:rowOff>
    </xdr:to>
    <xdr:sp>
      <xdr:nvSpPr>
        <xdr:cNvPr id="78" name="Straight Arrow Connector 144"/>
        <xdr:cNvSpPr>
          <a:spLocks/>
        </xdr:cNvSpPr>
      </xdr:nvSpPr>
      <xdr:spPr>
        <a:xfrm flipH="1">
          <a:off x="12534900" y="60007500"/>
          <a:ext cx="142875" cy="76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495300</xdr:colOff>
      <xdr:row>320</xdr:row>
      <xdr:rowOff>95250</xdr:rowOff>
    </xdr:from>
    <xdr:to>
      <xdr:col>23</xdr:col>
      <xdr:colOff>9525</xdr:colOff>
      <xdr:row>320</xdr:row>
      <xdr:rowOff>180975</xdr:rowOff>
    </xdr:to>
    <xdr:sp>
      <xdr:nvSpPr>
        <xdr:cNvPr id="79" name="Straight Arrow Connector 145"/>
        <xdr:cNvSpPr>
          <a:spLocks/>
        </xdr:cNvSpPr>
      </xdr:nvSpPr>
      <xdr:spPr>
        <a:xfrm flipH="1" flipV="1">
          <a:off x="12601575" y="62379225"/>
          <a:ext cx="8572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266700</xdr:colOff>
      <xdr:row>321</xdr:row>
      <xdr:rowOff>0</xdr:rowOff>
    </xdr:from>
    <xdr:to>
      <xdr:col>21</xdr:col>
      <xdr:colOff>523875</xdr:colOff>
      <xdr:row>321</xdr:row>
      <xdr:rowOff>0</xdr:rowOff>
    </xdr:to>
    <xdr:sp>
      <xdr:nvSpPr>
        <xdr:cNvPr id="80" name="Straight Arrow Connector 146"/>
        <xdr:cNvSpPr>
          <a:spLocks/>
        </xdr:cNvSpPr>
      </xdr:nvSpPr>
      <xdr:spPr>
        <a:xfrm>
          <a:off x="11801475" y="6247447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316</xdr:row>
      <xdr:rowOff>171450</xdr:rowOff>
    </xdr:from>
    <xdr:to>
      <xdr:col>23</xdr:col>
      <xdr:colOff>0</xdr:colOff>
      <xdr:row>318</xdr:row>
      <xdr:rowOff>38100</xdr:rowOff>
    </xdr:to>
    <xdr:sp>
      <xdr:nvSpPr>
        <xdr:cNvPr id="81" name="Straight Arrow Connector 147"/>
        <xdr:cNvSpPr>
          <a:spLocks/>
        </xdr:cNvSpPr>
      </xdr:nvSpPr>
      <xdr:spPr>
        <a:xfrm flipH="1">
          <a:off x="12677775" y="6169342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390525</xdr:colOff>
      <xdr:row>308</xdr:row>
      <xdr:rowOff>0</xdr:rowOff>
    </xdr:from>
    <xdr:to>
      <xdr:col>20</xdr:col>
      <xdr:colOff>38100</xdr:colOff>
      <xdr:row>308</xdr:row>
      <xdr:rowOff>0</xdr:rowOff>
    </xdr:to>
    <xdr:sp>
      <xdr:nvSpPr>
        <xdr:cNvPr id="82" name="Straight Arrow Connector 148"/>
        <xdr:cNvSpPr>
          <a:spLocks/>
        </xdr:cNvSpPr>
      </xdr:nvSpPr>
      <xdr:spPr>
        <a:xfrm>
          <a:off x="10782300" y="59997975"/>
          <a:ext cx="2190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209550</xdr:colOff>
      <xdr:row>314</xdr:row>
      <xdr:rowOff>0</xdr:rowOff>
    </xdr:from>
    <xdr:to>
      <xdr:col>18</xdr:col>
      <xdr:colOff>466725</xdr:colOff>
      <xdr:row>314</xdr:row>
      <xdr:rowOff>0</xdr:rowOff>
    </xdr:to>
    <xdr:sp>
      <xdr:nvSpPr>
        <xdr:cNvPr id="83" name="Straight Arrow Connector 149"/>
        <xdr:cNvSpPr>
          <a:spLocks/>
        </xdr:cNvSpPr>
      </xdr:nvSpPr>
      <xdr:spPr>
        <a:xfrm>
          <a:off x="10029825" y="6114097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571500</xdr:colOff>
      <xdr:row>311</xdr:row>
      <xdr:rowOff>19050</xdr:rowOff>
    </xdr:from>
    <xdr:to>
      <xdr:col>22</xdr:col>
      <xdr:colOff>571500</xdr:colOff>
      <xdr:row>312</xdr:row>
      <xdr:rowOff>76200</xdr:rowOff>
    </xdr:to>
    <xdr:sp>
      <xdr:nvSpPr>
        <xdr:cNvPr id="84" name="Straight Arrow Connector 150"/>
        <xdr:cNvSpPr>
          <a:spLocks/>
        </xdr:cNvSpPr>
      </xdr:nvSpPr>
      <xdr:spPr>
        <a:xfrm flipH="1">
          <a:off x="12677775" y="6058852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171450</xdr:colOff>
      <xdr:row>314</xdr:row>
      <xdr:rowOff>9525</xdr:rowOff>
    </xdr:from>
    <xdr:to>
      <xdr:col>21</xdr:col>
      <xdr:colOff>428625</xdr:colOff>
      <xdr:row>314</xdr:row>
      <xdr:rowOff>9525</xdr:rowOff>
    </xdr:to>
    <xdr:sp>
      <xdr:nvSpPr>
        <xdr:cNvPr id="85" name="Straight Arrow Connector 151"/>
        <xdr:cNvSpPr>
          <a:spLocks/>
        </xdr:cNvSpPr>
      </xdr:nvSpPr>
      <xdr:spPr>
        <a:xfrm>
          <a:off x="11706225" y="6115050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266700</xdr:colOff>
      <xdr:row>321</xdr:row>
      <xdr:rowOff>9525</xdr:rowOff>
    </xdr:from>
    <xdr:to>
      <xdr:col>18</xdr:col>
      <xdr:colOff>523875</xdr:colOff>
      <xdr:row>321</xdr:row>
      <xdr:rowOff>9525</xdr:rowOff>
    </xdr:to>
    <xdr:sp>
      <xdr:nvSpPr>
        <xdr:cNvPr id="86" name="Straight Arrow Connector 152"/>
        <xdr:cNvSpPr>
          <a:spLocks/>
        </xdr:cNvSpPr>
      </xdr:nvSpPr>
      <xdr:spPr>
        <a:xfrm>
          <a:off x="10086975" y="6248400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315</xdr:row>
      <xdr:rowOff>142875</xdr:rowOff>
    </xdr:from>
    <xdr:to>
      <xdr:col>20</xdr:col>
      <xdr:colOff>0</xdr:colOff>
      <xdr:row>317</xdr:row>
      <xdr:rowOff>9525</xdr:rowOff>
    </xdr:to>
    <xdr:sp>
      <xdr:nvSpPr>
        <xdr:cNvPr id="87" name="Straight Arrow Connector 153"/>
        <xdr:cNvSpPr>
          <a:spLocks/>
        </xdr:cNvSpPr>
      </xdr:nvSpPr>
      <xdr:spPr>
        <a:xfrm flipH="1">
          <a:off x="10963275" y="6147435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316</xdr:row>
      <xdr:rowOff>142875</xdr:rowOff>
    </xdr:from>
    <xdr:to>
      <xdr:col>17</xdr:col>
      <xdr:colOff>0</xdr:colOff>
      <xdr:row>318</xdr:row>
      <xdr:rowOff>9525</xdr:rowOff>
    </xdr:to>
    <xdr:sp>
      <xdr:nvSpPr>
        <xdr:cNvPr id="88" name="Straight Arrow Connector 154"/>
        <xdr:cNvSpPr>
          <a:spLocks/>
        </xdr:cNvSpPr>
      </xdr:nvSpPr>
      <xdr:spPr>
        <a:xfrm flipH="1">
          <a:off x="9248775" y="6166485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310</xdr:row>
      <xdr:rowOff>95250</xdr:rowOff>
    </xdr:from>
    <xdr:to>
      <xdr:col>17</xdr:col>
      <xdr:colOff>9525</xdr:colOff>
      <xdr:row>311</xdr:row>
      <xdr:rowOff>152400</xdr:rowOff>
    </xdr:to>
    <xdr:sp>
      <xdr:nvSpPr>
        <xdr:cNvPr id="89" name="Straight Arrow Connector 155"/>
        <xdr:cNvSpPr>
          <a:spLocks/>
        </xdr:cNvSpPr>
      </xdr:nvSpPr>
      <xdr:spPr>
        <a:xfrm flipH="1">
          <a:off x="9258300" y="6047422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419100</xdr:colOff>
      <xdr:row>3</xdr:row>
      <xdr:rowOff>123825</xdr:rowOff>
    </xdr:from>
    <xdr:to>
      <xdr:col>27</xdr:col>
      <xdr:colOff>552450</xdr:colOff>
      <xdr:row>20</xdr:row>
      <xdr:rowOff>38100</xdr:rowOff>
    </xdr:to>
    <xdr:pic>
      <xdr:nvPicPr>
        <xdr:cNvPr id="90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2375" y="762000"/>
          <a:ext cx="41338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43</xdr:row>
      <xdr:rowOff>95250</xdr:rowOff>
    </xdr:from>
    <xdr:to>
      <xdr:col>8</xdr:col>
      <xdr:colOff>409575</xdr:colOff>
      <xdr:row>61</xdr:row>
      <xdr:rowOff>38100</xdr:rowOff>
    </xdr:to>
    <xdr:pic>
      <xdr:nvPicPr>
        <xdr:cNvPr id="91" name="Picture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8467725"/>
          <a:ext cx="40481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43</xdr:row>
      <xdr:rowOff>180975</xdr:rowOff>
    </xdr:from>
    <xdr:to>
      <xdr:col>26</xdr:col>
      <xdr:colOff>47625</xdr:colOff>
      <xdr:row>58</xdr:row>
      <xdr:rowOff>9525</xdr:rowOff>
    </xdr:to>
    <xdr:grpSp>
      <xdr:nvGrpSpPr>
        <xdr:cNvPr id="92" name="Group 195"/>
        <xdr:cNvGrpSpPr>
          <a:grpSpLocks/>
        </xdr:cNvGrpSpPr>
      </xdr:nvGrpSpPr>
      <xdr:grpSpPr>
        <a:xfrm>
          <a:off x="10429875" y="8553450"/>
          <a:ext cx="4010025" cy="2705100"/>
          <a:chOff x="600075" y="952500"/>
          <a:chExt cx="4276725" cy="2695575"/>
        </a:xfrm>
        <a:solidFill>
          <a:srgbClr val="FFFFFF"/>
        </a:solidFill>
      </xdr:grpSpPr>
      <xdr:grpSp>
        <xdr:nvGrpSpPr>
          <xdr:cNvPr id="93" name="Group 196"/>
          <xdr:cNvGrpSpPr>
            <a:grpSpLocks/>
          </xdr:cNvGrpSpPr>
        </xdr:nvGrpSpPr>
        <xdr:grpSpPr>
          <a:xfrm>
            <a:off x="1199886" y="1143212"/>
            <a:ext cx="3676914" cy="2504863"/>
            <a:chOff x="1200150" y="561975"/>
            <a:chExt cx="3695700" cy="2505075"/>
          </a:xfrm>
          <a:solidFill>
            <a:srgbClr val="FFFFFF"/>
          </a:solidFill>
        </xdr:grpSpPr>
        <xdr:grpSp>
          <xdr:nvGrpSpPr>
            <xdr:cNvPr id="94" name="Group 204"/>
            <xdr:cNvGrpSpPr>
              <a:grpSpLocks/>
            </xdr:cNvGrpSpPr>
          </xdr:nvGrpSpPr>
          <xdr:grpSpPr>
            <a:xfrm>
              <a:off x="2590657" y="839412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95" name="Freeform 216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6" name="Straight Arrow Connector 217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97" name="Group 205"/>
            <xdr:cNvGrpSpPr>
              <a:grpSpLocks/>
            </xdr:cNvGrpSpPr>
          </xdr:nvGrpSpPr>
          <xdr:grpSpPr>
            <a:xfrm>
              <a:off x="1838582" y="2044353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98" name="Freeform 214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9" name="Straight Arrow Connector 215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0" name="Group 206"/>
            <xdr:cNvGrpSpPr>
              <a:grpSpLocks/>
            </xdr:cNvGrpSpPr>
          </xdr:nvGrpSpPr>
          <xdr:grpSpPr>
            <a:xfrm>
              <a:off x="3571865" y="2216577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101" name="Freeform 212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2" name="Straight Arrow Connector 213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03" name="Straight Connector 207"/>
            <xdr:cNvSpPr>
              <a:spLocks/>
            </xdr:cNvSpPr>
          </xdr:nvSpPr>
          <xdr:spPr>
            <a:xfrm>
              <a:off x="1219552" y="571369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4" name="Straight Connector 208"/>
            <xdr:cNvSpPr>
              <a:spLocks/>
            </xdr:cNvSpPr>
          </xdr:nvSpPr>
          <xdr:spPr>
            <a:xfrm>
              <a:off x="1209389" y="1704915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5" name="Straight Connector 209"/>
            <xdr:cNvSpPr>
              <a:spLocks/>
            </xdr:cNvSpPr>
          </xdr:nvSpPr>
          <xdr:spPr>
            <a:xfrm>
              <a:off x="1200150" y="3048262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6" name="Straight Connector 210"/>
            <xdr:cNvSpPr>
              <a:spLocks/>
            </xdr:cNvSpPr>
          </xdr:nvSpPr>
          <xdr:spPr>
            <a:xfrm flipH="1">
              <a:off x="1209389" y="571369"/>
              <a:ext cx="19402" cy="2466873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7" name="Straight Connector 211"/>
            <xdr:cNvSpPr>
              <a:spLocks/>
            </xdr:cNvSpPr>
          </xdr:nvSpPr>
          <xdr:spPr>
            <a:xfrm>
              <a:off x="4886611" y="561975"/>
              <a:ext cx="0" cy="2505075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08" name="Straight Connector 197"/>
          <xdr:cNvSpPr>
            <a:spLocks/>
          </xdr:cNvSpPr>
        </xdr:nvSpPr>
        <xdr:spPr>
          <a:xfrm>
            <a:off x="3038877" y="2276701"/>
            <a:ext cx="9623" cy="134307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Freeform 198"/>
          <xdr:cNvSpPr>
            <a:spLocks/>
          </xdr:cNvSpPr>
        </xdr:nvSpPr>
        <xdr:spPr>
          <a:xfrm>
            <a:off x="638566" y="952500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Straight Arrow Connector 199"/>
          <xdr:cNvSpPr>
            <a:spLocks/>
          </xdr:cNvSpPr>
        </xdr:nvSpPr>
        <xdr:spPr>
          <a:xfrm>
            <a:off x="971081" y="115264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Rectangle 200"/>
          <xdr:cNvSpPr>
            <a:spLocks/>
          </xdr:cNvSpPr>
        </xdr:nvSpPr>
        <xdr:spPr>
          <a:xfrm>
            <a:off x="648188" y="1000346"/>
            <a:ext cx="323962" cy="161735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Rectangle 201"/>
          <xdr:cNvSpPr>
            <a:spLocks/>
          </xdr:cNvSpPr>
        </xdr:nvSpPr>
        <xdr:spPr>
          <a:xfrm>
            <a:off x="609698" y="3466798"/>
            <a:ext cx="323962" cy="152300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Straight Arrow Connector 202"/>
          <xdr:cNvSpPr>
            <a:spLocks/>
          </xdr:cNvSpPr>
        </xdr:nvSpPr>
        <xdr:spPr>
          <a:xfrm>
            <a:off x="943282" y="362920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Freeform 203"/>
          <xdr:cNvSpPr>
            <a:spLocks/>
          </xdr:cNvSpPr>
        </xdr:nvSpPr>
        <xdr:spPr>
          <a:xfrm>
            <a:off x="600075" y="3419625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20</xdr:col>
      <xdr:colOff>76200</xdr:colOff>
      <xdr:row>45</xdr:row>
      <xdr:rowOff>19050</xdr:rowOff>
    </xdr:from>
    <xdr:to>
      <xdr:col>20</xdr:col>
      <xdr:colOff>219075</xdr:colOff>
      <xdr:row>45</xdr:row>
      <xdr:rowOff>104775</xdr:rowOff>
    </xdr:to>
    <xdr:sp>
      <xdr:nvSpPr>
        <xdr:cNvPr id="115" name="Straight Arrow Connector 218"/>
        <xdr:cNvSpPr>
          <a:spLocks/>
        </xdr:cNvSpPr>
      </xdr:nvSpPr>
      <xdr:spPr>
        <a:xfrm>
          <a:off x="11039475" y="8772525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50</xdr:row>
      <xdr:rowOff>180975</xdr:rowOff>
    </xdr:from>
    <xdr:to>
      <xdr:col>20</xdr:col>
      <xdr:colOff>209550</xdr:colOff>
      <xdr:row>51</xdr:row>
      <xdr:rowOff>76200</xdr:rowOff>
    </xdr:to>
    <xdr:sp>
      <xdr:nvSpPr>
        <xdr:cNvPr id="116" name="Straight Arrow Connector 219"/>
        <xdr:cNvSpPr>
          <a:spLocks/>
        </xdr:cNvSpPr>
      </xdr:nvSpPr>
      <xdr:spPr>
        <a:xfrm>
          <a:off x="11029950" y="9906000"/>
          <a:ext cx="1428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571500</xdr:colOff>
      <xdr:row>51</xdr:row>
      <xdr:rowOff>9525</xdr:rowOff>
    </xdr:from>
    <xdr:to>
      <xdr:col>23</xdr:col>
      <xdr:colOff>133350</xdr:colOff>
      <xdr:row>51</xdr:row>
      <xdr:rowOff>95250</xdr:rowOff>
    </xdr:to>
    <xdr:sp>
      <xdr:nvSpPr>
        <xdr:cNvPr id="117" name="Straight Arrow Connector 220"/>
        <xdr:cNvSpPr>
          <a:spLocks/>
        </xdr:cNvSpPr>
      </xdr:nvSpPr>
      <xdr:spPr>
        <a:xfrm>
          <a:off x="12677775" y="9925050"/>
          <a:ext cx="133350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571500</xdr:colOff>
      <xdr:row>57</xdr:row>
      <xdr:rowOff>95250</xdr:rowOff>
    </xdr:from>
    <xdr:to>
      <xdr:col>20</xdr:col>
      <xdr:colOff>171450</xdr:colOff>
      <xdr:row>58</xdr:row>
      <xdr:rowOff>0</xdr:rowOff>
    </xdr:to>
    <xdr:sp>
      <xdr:nvSpPr>
        <xdr:cNvPr id="118" name="Straight Arrow Connector 221"/>
        <xdr:cNvSpPr>
          <a:spLocks/>
        </xdr:cNvSpPr>
      </xdr:nvSpPr>
      <xdr:spPr>
        <a:xfrm flipV="1">
          <a:off x="10963275" y="11153775"/>
          <a:ext cx="17145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57</xdr:row>
      <xdr:rowOff>76200</xdr:rowOff>
    </xdr:from>
    <xdr:to>
      <xdr:col>23</xdr:col>
      <xdr:colOff>200025</xdr:colOff>
      <xdr:row>57</xdr:row>
      <xdr:rowOff>171450</xdr:rowOff>
    </xdr:to>
    <xdr:sp>
      <xdr:nvSpPr>
        <xdr:cNvPr id="119" name="Straight Arrow Connector 222"/>
        <xdr:cNvSpPr>
          <a:spLocks/>
        </xdr:cNvSpPr>
      </xdr:nvSpPr>
      <xdr:spPr>
        <a:xfrm flipV="1">
          <a:off x="12687300" y="11134725"/>
          <a:ext cx="19050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438150</xdr:colOff>
      <xdr:row>50</xdr:row>
      <xdr:rowOff>180975</xdr:rowOff>
    </xdr:from>
    <xdr:to>
      <xdr:col>26</xdr:col>
      <xdr:colOff>0</xdr:colOff>
      <xdr:row>51</xdr:row>
      <xdr:rowOff>66675</xdr:rowOff>
    </xdr:to>
    <xdr:sp>
      <xdr:nvSpPr>
        <xdr:cNvPr id="120" name="Straight Arrow Connector 223"/>
        <xdr:cNvSpPr>
          <a:spLocks/>
        </xdr:cNvSpPr>
      </xdr:nvSpPr>
      <xdr:spPr>
        <a:xfrm flipH="1">
          <a:off x="14258925" y="9906000"/>
          <a:ext cx="133350" cy="76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447675</xdr:colOff>
      <xdr:row>45</xdr:row>
      <xdr:rowOff>9525</xdr:rowOff>
    </xdr:from>
    <xdr:to>
      <xdr:col>26</xdr:col>
      <xdr:colOff>9525</xdr:colOff>
      <xdr:row>45</xdr:row>
      <xdr:rowOff>85725</xdr:rowOff>
    </xdr:to>
    <xdr:sp>
      <xdr:nvSpPr>
        <xdr:cNvPr id="121" name="Straight Arrow Connector 224"/>
        <xdr:cNvSpPr>
          <a:spLocks/>
        </xdr:cNvSpPr>
      </xdr:nvSpPr>
      <xdr:spPr>
        <a:xfrm flipH="1">
          <a:off x="14268450" y="8763000"/>
          <a:ext cx="133350" cy="76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495300</xdr:colOff>
      <xdr:row>57</xdr:row>
      <xdr:rowOff>95250</xdr:rowOff>
    </xdr:from>
    <xdr:to>
      <xdr:col>26</xdr:col>
      <xdr:colOff>9525</xdr:colOff>
      <xdr:row>57</xdr:row>
      <xdr:rowOff>180975</xdr:rowOff>
    </xdr:to>
    <xdr:sp>
      <xdr:nvSpPr>
        <xdr:cNvPr id="122" name="Straight Arrow Connector 225"/>
        <xdr:cNvSpPr>
          <a:spLocks/>
        </xdr:cNvSpPr>
      </xdr:nvSpPr>
      <xdr:spPr>
        <a:xfrm flipH="1" flipV="1">
          <a:off x="14316075" y="11153775"/>
          <a:ext cx="8572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266700</xdr:colOff>
      <xdr:row>58</xdr:row>
      <xdr:rowOff>0</xdr:rowOff>
    </xdr:from>
    <xdr:to>
      <xdr:col>24</xdr:col>
      <xdr:colOff>523875</xdr:colOff>
      <xdr:row>58</xdr:row>
      <xdr:rowOff>0</xdr:rowOff>
    </xdr:to>
    <xdr:sp>
      <xdr:nvSpPr>
        <xdr:cNvPr id="123" name="Straight Arrow Connector 226"/>
        <xdr:cNvSpPr>
          <a:spLocks/>
        </xdr:cNvSpPr>
      </xdr:nvSpPr>
      <xdr:spPr>
        <a:xfrm>
          <a:off x="13515975" y="1124902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171450</xdr:rowOff>
    </xdr:from>
    <xdr:to>
      <xdr:col>26</xdr:col>
      <xdr:colOff>0</xdr:colOff>
      <xdr:row>55</xdr:row>
      <xdr:rowOff>38100</xdr:rowOff>
    </xdr:to>
    <xdr:sp>
      <xdr:nvSpPr>
        <xdr:cNvPr id="124" name="Straight Arrow Connector 227"/>
        <xdr:cNvSpPr>
          <a:spLocks/>
        </xdr:cNvSpPr>
      </xdr:nvSpPr>
      <xdr:spPr>
        <a:xfrm flipH="1">
          <a:off x="14392275" y="1046797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390525</xdr:colOff>
      <xdr:row>45</xdr:row>
      <xdr:rowOff>0</xdr:rowOff>
    </xdr:from>
    <xdr:to>
      <xdr:col>23</xdr:col>
      <xdr:colOff>38100</xdr:colOff>
      <xdr:row>45</xdr:row>
      <xdr:rowOff>0</xdr:rowOff>
    </xdr:to>
    <xdr:sp>
      <xdr:nvSpPr>
        <xdr:cNvPr id="125" name="Straight Arrow Connector 228"/>
        <xdr:cNvSpPr>
          <a:spLocks/>
        </xdr:cNvSpPr>
      </xdr:nvSpPr>
      <xdr:spPr>
        <a:xfrm>
          <a:off x="12496800" y="8753475"/>
          <a:ext cx="2190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209550</xdr:colOff>
      <xdr:row>51</xdr:row>
      <xdr:rowOff>0</xdr:rowOff>
    </xdr:from>
    <xdr:to>
      <xdr:col>21</xdr:col>
      <xdr:colOff>466725</xdr:colOff>
      <xdr:row>51</xdr:row>
      <xdr:rowOff>0</xdr:rowOff>
    </xdr:to>
    <xdr:sp>
      <xdr:nvSpPr>
        <xdr:cNvPr id="126" name="Straight Arrow Connector 229"/>
        <xdr:cNvSpPr>
          <a:spLocks/>
        </xdr:cNvSpPr>
      </xdr:nvSpPr>
      <xdr:spPr>
        <a:xfrm>
          <a:off x="11744325" y="991552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571500</xdr:colOff>
      <xdr:row>48</xdr:row>
      <xdr:rowOff>19050</xdr:rowOff>
    </xdr:from>
    <xdr:to>
      <xdr:col>25</xdr:col>
      <xdr:colOff>571500</xdr:colOff>
      <xdr:row>49</xdr:row>
      <xdr:rowOff>76200</xdr:rowOff>
    </xdr:to>
    <xdr:sp>
      <xdr:nvSpPr>
        <xdr:cNvPr id="127" name="Straight Arrow Connector 230"/>
        <xdr:cNvSpPr>
          <a:spLocks/>
        </xdr:cNvSpPr>
      </xdr:nvSpPr>
      <xdr:spPr>
        <a:xfrm flipH="1">
          <a:off x="14392275" y="9353550"/>
          <a:ext cx="0" cy="2571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171450</xdr:colOff>
      <xdr:row>51</xdr:row>
      <xdr:rowOff>9525</xdr:rowOff>
    </xdr:from>
    <xdr:to>
      <xdr:col>24</xdr:col>
      <xdr:colOff>428625</xdr:colOff>
      <xdr:row>51</xdr:row>
      <xdr:rowOff>9525</xdr:rowOff>
    </xdr:to>
    <xdr:sp>
      <xdr:nvSpPr>
        <xdr:cNvPr id="128" name="Straight Arrow Connector 231"/>
        <xdr:cNvSpPr>
          <a:spLocks/>
        </xdr:cNvSpPr>
      </xdr:nvSpPr>
      <xdr:spPr>
        <a:xfrm>
          <a:off x="13420725" y="992505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266700</xdr:colOff>
      <xdr:row>58</xdr:row>
      <xdr:rowOff>9525</xdr:rowOff>
    </xdr:from>
    <xdr:to>
      <xdr:col>21</xdr:col>
      <xdr:colOff>523875</xdr:colOff>
      <xdr:row>58</xdr:row>
      <xdr:rowOff>9525</xdr:rowOff>
    </xdr:to>
    <xdr:sp>
      <xdr:nvSpPr>
        <xdr:cNvPr id="129" name="Straight Arrow Connector 232"/>
        <xdr:cNvSpPr>
          <a:spLocks/>
        </xdr:cNvSpPr>
      </xdr:nvSpPr>
      <xdr:spPr>
        <a:xfrm>
          <a:off x="11801475" y="1125855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52</xdr:row>
      <xdr:rowOff>142875</xdr:rowOff>
    </xdr:from>
    <xdr:to>
      <xdr:col>23</xdr:col>
      <xdr:colOff>0</xdr:colOff>
      <xdr:row>54</xdr:row>
      <xdr:rowOff>9525</xdr:rowOff>
    </xdr:to>
    <xdr:sp>
      <xdr:nvSpPr>
        <xdr:cNvPr id="130" name="Straight Arrow Connector 233"/>
        <xdr:cNvSpPr>
          <a:spLocks/>
        </xdr:cNvSpPr>
      </xdr:nvSpPr>
      <xdr:spPr>
        <a:xfrm flipH="1">
          <a:off x="12677775" y="1024890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53</xdr:row>
      <xdr:rowOff>142875</xdr:rowOff>
    </xdr:from>
    <xdr:to>
      <xdr:col>20</xdr:col>
      <xdr:colOff>0</xdr:colOff>
      <xdr:row>55</xdr:row>
      <xdr:rowOff>9525</xdr:rowOff>
    </xdr:to>
    <xdr:sp>
      <xdr:nvSpPr>
        <xdr:cNvPr id="131" name="Straight Arrow Connector 234"/>
        <xdr:cNvSpPr>
          <a:spLocks/>
        </xdr:cNvSpPr>
      </xdr:nvSpPr>
      <xdr:spPr>
        <a:xfrm flipH="1">
          <a:off x="10963275" y="10439400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47</xdr:row>
      <xdr:rowOff>95250</xdr:rowOff>
    </xdr:from>
    <xdr:to>
      <xdr:col>20</xdr:col>
      <xdr:colOff>9525</xdr:colOff>
      <xdr:row>48</xdr:row>
      <xdr:rowOff>152400</xdr:rowOff>
    </xdr:to>
    <xdr:sp>
      <xdr:nvSpPr>
        <xdr:cNvPr id="132" name="Straight Arrow Connector 235"/>
        <xdr:cNvSpPr>
          <a:spLocks/>
        </xdr:cNvSpPr>
      </xdr:nvSpPr>
      <xdr:spPr>
        <a:xfrm flipH="1">
          <a:off x="10972800" y="9229725"/>
          <a:ext cx="0" cy="2571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561975</xdr:colOff>
      <xdr:row>116</xdr:row>
      <xdr:rowOff>38100</xdr:rowOff>
    </xdr:from>
    <xdr:to>
      <xdr:col>24</xdr:col>
      <xdr:colOff>571500</xdr:colOff>
      <xdr:row>130</xdr:row>
      <xdr:rowOff>57150</xdr:rowOff>
    </xdr:to>
    <xdr:grpSp>
      <xdr:nvGrpSpPr>
        <xdr:cNvPr id="133" name="Group 239"/>
        <xdr:cNvGrpSpPr>
          <a:grpSpLocks/>
        </xdr:cNvGrpSpPr>
      </xdr:nvGrpSpPr>
      <xdr:grpSpPr>
        <a:xfrm>
          <a:off x="9810750" y="22545675"/>
          <a:ext cx="4010025" cy="2819400"/>
          <a:chOff x="600075" y="952500"/>
          <a:chExt cx="4276725" cy="2695575"/>
        </a:xfrm>
        <a:solidFill>
          <a:srgbClr val="FFFFFF"/>
        </a:solidFill>
      </xdr:grpSpPr>
      <xdr:grpSp>
        <xdr:nvGrpSpPr>
          <xdr:cNvPr id="134" name="Group 240"/>
          <xdr:cNvGrpSpPr>
            <a:grpSpLocks/>
          </xdr:cNvGrpSpPr>
        </xdr:nvGrpSpPr>
        <xdr:grpSpPr>
          <a:xfrm>
            <a:off x="1199886" y="1143212"/>
            <a:ext cx="3676914" cy="2504863"/>
            <a:chOff x="1200150" y="561975"/>
            <a:chExt cx="3695700" cy="2505075"/>
          </a:xfrm>
          <a:solidFill>
            <a:srgbClr val="FFFFFF"/>
          </a:solidFill>
        </xdr:grpSpPr>
        <xdr:grpSp>
          <xdr:nvGrpSpPr>
            <xdr:cNvPr id="135" name="Group 248"/>
            <xdr:cNvGrpSpPr>
              <a:grpSpLocks/>
            </xdr:cNvGrpSpPr>
          </xdr:nvGrpSpPr>
          <xdr:grpSpPr>
            <a:xfrm>
              <a:off x="2590657" y="839412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136" name="Freeform 260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7" name="Straight Arrow Connector 261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38" name="Group 249"/>
            <xdr:cNvGrpSpPr>
              <a:grpSpLocks/>
            </xdr:cNvGrpSpPr>
          </xdr:nvGrpSpPr>
          <xdr:grpSpPr>
            <a:xfrm>
              <a:off x="1838582" y="2044353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139" name="Freeform 258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0" name="Straight Arrow Connector 259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41" name="Group 250"/>
            <xdr:cNvGrpSpPr>
              <a:grpSpLocks/>
            </xdr:cNvGrpSpPr>
          </xdr:nvGrpSpPr>
          <xdr:grpSpPr>
            <a:xfrm>
              <a:off x="3571865" y="2216577"/>
              <a:ext cx="619030" cy="430247"/>
              <a:chOff x="2609850" y="866775"/>
              <a:chExt cx="752475" cy="457200"/>
            </a:xfrm>
            <a:solidFill>
              <a:srgbClr val="FFFFFF"/>
            </a:solidFill>
          </xdr:grpSpPr>
          <xdr:sp>
            <xdr:nvSpPr>
              <xdr:cNvPr id="142" name="Freeform 256"/>
              <xdr:cNvSpPr>
                <a:spLocks/>
              </xdr:cNvSpPr>
            </xdr:nvSpPr>
            <xdr:spPr>
              <a:xfrm>
                <a:off x="2619444" y="866775"/>
                <a:ext cx="742881" cy="457200"/>
              </a:xfrm>
              <a:custGeom>
                <a:pathLst>
                  <a:path h="457200" w="742950">
                    <a:moveTo>
                      <a:pt x="0" y="0"/>
                    </a:moveTo>
                    <a:lnTo>
                      <a:pt x="742950" y="0"/>
                    </a:lnTo>
                    <a:lnTo>
                      <a:pt x="742950" y="457200"/>
                    </a:lnTo>
                    <a:lnTo>
                      <a:pt x="0" y="457200"/>
                    </a:lnTo>
                    <a:lnTo>
                      <a:pt x="0" y="219075"/>
                    </a:lnTo>
                    <a:lnTo>
                      <a:pt x="9525" y="238125"/>
                    </a:lnTo>
                  </a:path>
                </a:pathLst>
              </a:custGeom>
              <a:noFill/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3" name="Straight Arrow Connector 257"/>
              <xdr:cNvSpPr>
                <a:spLocks/>
              </xdr:cNvSpPr>
            </xdr:nvSpPr>
            <xdr:spPr>
              <a:xfrm flipH="1" flipV="1">
                <a:off x="2609850" y="1085888"/>
                <a:ext cx="0" cy="219113"/>
              </a:xfrm>
              <a:prstGeom prst="straightConnector1">
                <a:avLst/>
              </a:prstGeom>
              <a:noFill/>
              <a:ln w="6350" cmpd="sng">
                <a:solidFill>
                  <a:srgbClr val="5B9BD5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44" name="Straight Connector 251"/>
            <xdr:cNvSpPr>
              <a:spLocks/>
            </xdr:cNvSpPr>
          </xdr:nvSpPr>
          <xdr:spPr>
            <a:xfrm>
              <a:off x="1219552" y="571369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5" name="Straight Connector 252"/>
            <xdr:cNvSpPr>
              <a:spLocks/>
            </xdr:cNvSpPr>
          </xdr:nvSpPr>
          <xdr:spPr>
            <a:xfrm>
              <a:off x="1209389" y="1704915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6" name="Straight Connector 253"/>
            <xdr:cNvSpPr>
              <a:spLocks/>
            </xdr:cNvSpPr>
          </xdr:nvSpPr>
          <xdr:spPr>
            <a:xfrm>
              <a:off x="1200150" y="3048262"/>
              <a:ext cx="3676298" cy="0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7" name="Straight Connector 254"/>
            <xdr:cNvSpPr>
              <a:spLocks/>
            </xdr:cNvSpPr>
          </xdr:nvSpPr>
          <xdr:spPr>
            <a:xfrm flipH="1">
              <a:off x="1209389" y="571369"/>
              <a:ext cx="19402" cy="2466873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8" name="Straight Connector 255"/>
            <xdr:cNvSpPr>
              <a:spLocks/>
            </xdr:cNvSpPr>
          </xdr:nvSpPr>
          <xdr:spPr>
            <a:xfrm>
              <a:off x="4886611" y="561975"/>
              <a:ext cx="0" cy="2505075"/>
            </a:xfrm>
            <a:prstGeom prst="line">
              <a:avLst/>
            </a:prstGeom>
            <a:noFill/>
            <a:ln w="6350" cmpd="sng">
              <a:solidFill>
                <a:srgbClr val="5B9BD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49" name="Straight Connector 241"/>
          <xdr:cNvSpPr>
            <a:spLocks/>
          </xdr:cNvSpPr>
        </xdr:nvSpPr>
        <xdr:spPr>
          <a:xfrm>
            <a:off x="3038877" y="2276701"/>
            <a:ext cx="9623" cy="134307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0" name="Freeform 242"/>
          <xdr:cNvSpPr>
            <a:spLocks/>
          </xdr:cNvSpPr>
        </xdr:nvSpPr>
        <xdr:spPr>
          <a:xfrm>
            <a:off x="638566" y="952500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1" name="Straight Arrow Connector 243"/>
          <xdr:cNvSpPr>
            <a:spLocks/>
          </xdr:cNvSpPr>
        </xdr:nvSpPr>
        <xdr:spPr>
          <a:xfrm>
            <a:off x="971081" y="115264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2" name="Rectangle 244"/>
          <xdr:cNvSpPr>
            <a:spLocks/>
          </xdr:cNvSpPr>
        </xdr:nvSpPr>
        <xdr:spPr>
          <a:xfrm>
            <a:off x="648188" y="1000346"/>
            <a:ext cx="323962" cy="161735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3" name="Rectangle 245"/>
          <xdr:cNvSpPr>
            <a:spLocks/>
          </xdr:cNvSpPr>
        </xdr:nvSpPr>
        <xdr:spPr>
          <a:xfrm>
            <a:off x="609698" y="3466798"/>
            <a:ext cx="323962" cy="152300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4" name="Straight Arrow Connector 246"/>
          <xdr:cNvSpPr>
            <a:spLocks/>
          </xdr:cNvSpPr>
        </xdr:nvSpPr>
        <xdr:spPr>
          <a:xfrm>
            <a:off x="943282" y="3629206"/>
            <a:ext cx="275849" cy="0"/>
          </a:xfrm>
          <a:prstGeom prst="straightConnector1">
            <a:avLst/>
          </a:prstGeom>
          <a:noFill/>
          <a:ln w="6350" cmpd="sng">
            <a:solidFill>
              <a:srgbClr val="5B9BD5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5" name="Freeform 247"/>
          <xdr:cNvSpPr>
            <a:spLocks/>
          </xdr:cNvSpPr>
        </xdr:nvSpPr>
        <xdr:spPr>
          <a:xfrm>
            <a:off x="600075" y="3419625"/>
            <a:ext cx="333585" cy="209581"/>
          </a:xfrm>
          <a:custGeom>
            <a:pathLst>
              <a:path h="209550" w="333375">
                <a:moveTo>
                  <a:pt x="0" y="0"/>
                </a:moveTo>
                <a:lnTo>
                  <a:pt x="0" y="0"/>
                </a:lnTo>
                <a:lnTo>
                  <a:pt x="0" y="209550"/>
                </a:lnTo>
                <a:lnTo>
                  <a:pt x="333375" y="209550"/>
                </a:lnTo>
                <a:lnTo>
                  <a:pt x="333375" y="19050"/>
                </a:lnTo>
              </a:path>
            </a:pathLst>
          </a:cu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18</xdr:col>
      <xdr:colOff>542925</xdr:colOff>
      <xdr:row>117</xdr:row>
      <xdr:rowOff>19050</xdr:rowOff>
    </xdr:from>
    <xdr:to>
      <xdr:col>19</xdr:col>
      <xdr:colOff>76200</xdr:colOff>
      <xdr:row>117</xdr:row>
      <xdr:rowOff>104775</xdr:rowOff>
    </xdr:to>
    <xdr:sp>
      <xdr:nvSpPr>
        <xdr:cNvPr id="156" name="Straight Arrow Connector 262"/>
        <xdr:cNvSpPr>
          <a:spLocks/>
        </xdr:cNvSpPr>
      </xdr:nvSpPr>
      <xdr:spPr>
        <a:xfrm>
          <a:off x="10363200" y="22745700"/>
          <a:ext cx="1047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542925</xdr:colOff>
      <xdr:row>123</xdr:row>
      <xdr:rowOff>9525</xdr:rowOff>
    </xdr:from>
    <xdr:to>
      <xdr:col>19</xdr:col>
      <xdr:colOff>76200</xdr:colOff>
      <xdr:row>123</xdr:row>
      <xdr:rowOff>95250</xdr:rowOff>
    </xdr:to>
    <xdr:sp>
      <xdr:nvSpPr>
        <xdr:cNvPr id="157" name="Straight Arrow Connector 263"/>
        <xdr:cNvSpPr>
          <a:spLocks/>
        </xdr:cNvSpPr>
      </xdr:nvSpPr>
      <xdr:spPr>
        <a:xfrm>
          <a:off x="10363200" y="23926800"/>
          <a:ext cx="10477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542925</xdr:colOff>
      <xdr:row>122</xdr:row>
      <xdr:rowOff>180975</xdr:rowOff>
    </xdr:from>
    <xdr:to>
      <xdr:col>22</xdr:col>
      <xdr:colOff>76200</xdr:colOff>
      <xdr:row>123</xdr:row>
      <xdr:rowOff>76200</xdr:rowOff>
    </xdr:to>
    <xdr:sp>
      <xdr:nvSpPr>
        <xdr:cNvPr id="158" name="Straight Arrow Connector 264"/>
        <xdr:cNvSpPr>
          <a:spLocks/>
        </xdr:cNvSpPr>
      </xdr:nvSpPr>
      <xdr:spPr>
        <a:xfrm>
          <a:off x="12077700" y="23888700"/>
          <a:ext cx="104775" cy="1047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542925</xdr:colOff>
      <xdr:row>129</xdr:row>
      <xdr:rowOff>104775</xdr:rowOff>
    </xdr:from>
    <xdr:to>
      <xdr:col>19</xdr:col>
      <xdr:colOff>123825</xdr:colOff>
      <xdr:row>130</xdr:row>
      <xdr:rowOff>9525</xdr:rowOff>
    </xdr:to>
    <xdr:sp>
      <xdr:nvSpPr>
        <xdr:cNvPr id="159" name="Straight Arrow Connector 265"/>
        <xdr:cNvSpPr>
          <a:spLocks/>
        </xdr:cNvSpPr>
      </xdr:nvSpPr>
      <xdr:spPr>
        <a:xfrm flipV="1">
          <a:off x="10363200" y="25222200"/>
          <a:ext cx="15240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561975</xdr:colOff>
      <xdr:row>129</xdr:row>
      <xdr:rowOff>76200</xdr:rowOff>
    </xdr:from>
    <xdr:to>
      <xdr:col>22</xdr:col>
      <xdr:colOff>142875</xdr:colOff>
      <xdr:row>129</xdr:row>
      <xdr:rowOff>171450</xdr:rowOff>
    </xdr:to>
    <xdr:sp>
      <xdr:nvSpPr>
        <xdr:cNvPr id="160" name="Straight Arrow Connector 266"/>
        <xdr:cNvSpPr>
          <a:spLocks/>
        </xdr:cNvSpPr>
      </xdr:nvSpPr>
      <xdr:spPr>
        <a:xfrm flipV="1">
          <a:off x="12096750" y="25193625"/>
          <a:ext cx="15240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352425</xdr:colOff>
      <xdr:row>122</xdr:row>
      <xdr:rowOff>180975</xdr:rowOff>
    </xdr:from>
    <xdr:to>
      <xdr:col>24</xdr:col>
      <xdr:colOff>523875</xdr:colOff>
      <xdr:row>123</xdr:row>
      <xdr:rowOff>66675</xdr:rowOff>
    </xdr:to>
    <xdr:sp>
      <xdr:nvSpPr>
        <xdr:cNvPr id="161" name="Straight Arrow Connector 267"/>
        <xdr:cNvSpPr>
          <a:spLocks/>
        </xdr:cNvSpPr>
      </xdr:nvSpPr>
      <xdr:spPr>
        <a:xfrm flipH="1">
          <a:off x="13601700" y="23888700"/>
          <a:ext cx="171450" cy="952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342900</xdr:colOff>
      <xdr:row>117</xdr:row>
      <xdr:rowOff>9525</xdr:rowOff>
    </xdr:from>
    <xdr:to>
      <xdr:col>24</xdr:col>
      <xdr:colOff>514350</xdr:colOff>
      <xdr:row>117</xdr:row>
      <xdr:rowOff>85725</xdr:rowOff>
    </xdr:to>
    <xdr:sp>
      <xdr:nvSpPr>
        <xdr:cNvPr id="162" name="Straight Arrow Connector 268"/>
        <xdr:cNvSpPr>
          <a:spLocks/>
        </xdr:cNvSpPr>
      </xdr:nvSpPr>
      <xdr:spPr>
        <a:xfrm flipH="1">
          <a:off x="13592175" y="22736175"/>
          <a:ext cx="171450" cy="762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390525</xdr:colOff>
      <xdr:row>129</xdr:row>
      <xdr:rowOff>66675</xdr:rowOff>
    </xdr:from>
    <xdr:to>
      <xdr:col>24</xdr:col>
      <xdr:colOff>514350</xdr:colOff>
      <xdr:row>129</xdr:row>
      <xdr:rowOff>152400</xdr:rowOff>
    </xdr:to>
    <xdr:sp>
      <xdr:nvSpPr>
        <xdr:cNvPr id="163" name="Straight Arrow Connector 269"/>
        <xdr:cNvSpPr>
          <a:spLocks/>
        </xdr:cNvSpPr>
      </xdr:nvSpPr>
      <xdr:spPr>
        <a:xfrm flipH="1" flipV="1">
          <a:off x="13639800" y="25184100"/>
          <a:ext cx="123825" cy="85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266700</xdr:colOff>
      <xdr:row>129</xdr:row>
      <xdr:rowOff>161925</xdr:rowOff>
    </xdr:from>
    <xdr:to>
      <xdr:col>23</xdr:col>
      <xdr:colOff>523875</xdr:colOff>
      <xdr:row>129</xdr:row>
      <xdr:rowOff>161925</xdr:rowOff>
    </xdr:to>
    <xdr:sp>
      <xdr:nvSpPr>
        <xdr:cNvPr id="164" name="Straight Arrow Connector 270"/>
        <xdr:cNvSpPr>
          <a:spLocks/>
        </xdr:cNvSpPr>
      </xdr:nvSpPr>
      <xdr:spPr>
        <a:xfrm>
          <a:off x="12944475" y="2527935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125</xdr:row>
      <xdr:rowOff>171450</xdr:rowOff>
    </xdr:from>
    <xdr:to>
      <xdr:col>25</xdr:col>
      <xdr:colOff>0</xdr:colOff>
      <xdr:row>127</xdr:row>
      <xdr:rowOff>38100</xdr:rowOff>
    </xdr:to>
    <xdr:sp>
      <xdr:nvSpPr>
        <xdr:cNvPr id="165" name="Straight Arrow Connector 271"/>
        <xdr:cNvSpPr>
          <a:spLocks/>
        </xdr:cNvSpPr>
      </xdr:nvSpPr>
      <xdr:spPr>
        <a:xfrm flipH="1">
          <a:off x="13820775" y="24517350"/>
          <a:ext cx="0" cy="2571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390525</xdr:colOff>
      <xdr:row>117</xdr:row>
      <xdr:rowOff>0</xdr:rowOff>
    </xdr:from>
    <xdr:to>
      <xdr:col>22</xdr:col>
      <xdr:colOff>38100</xdr:colOff>
      <xdr:row>117</xdr:row>
      <xdr:rowOff>0</xdr:rowOff>
    </xdr:to>
    <xdr:sp>
      <xdr:nvSpPr>
        <xdr:cNvPr id="166" name="Straight Arrow Connector 272"/>
        <xdr:cNvSpPr>
          <a:spLocks/>
        </xdr:cNvSpPr>
      </xdr:nvSpPr>
      <xdr:spPr>
        <a:xfrm>
          <a:off x="11925300" y="22726650"/>
          <a:ext cx="2190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209550</xdr:colOff>
      <xdr:row>123</xdr:row>
      <xdr:rowOff>28575</xdr:rowOff>
    </xdr:from>
    <xdr:to>
      <xdr:col>20</xdr:col>
      <xdr:colOff>466725</xdr:colOff>
      <xdr:row>123</xdr:row>
      <xdr:rowOff>28575</xdr:rowOff>
    </xdr:to>
    <xdr:sp>
      <xdr:nvSpPr>
        <xdr:cNvPr id="167" name="Straight Arrow Connector 273"/>
        <xdr:cNvSpPr>
          <a:spLocks/>
        </xdr:cNvSpPr>
      </xdr:nvSpPr>
      <xdr:spPr>
        <a:xfrm>
          <a:off x="11172825" y="2394585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571500</xdr:colOff>
      <xdr:row>120</xdr:row>
      <xdr:rowOff>19050</xdr:rowOff>
    </xdr:from>
    <xdr:to>
      <xdr:col>24</xdr:col>
      <xdr:colOff>571500</xdr:colOff>
      <xdr:row>121</xdr:row>
      <xdr:rowOff>76200</xdr:rowOff>
    </xdr:to>
    <xdr:sp>
      <xdr:nvSpPr>
        <xdr:cNvPr id="168" name="Straight Arrow Connector 274"/>
        <xdr:cNvSpPr>
          <a:spLocks/>
        </xdr:cNvSpPr>
      </xdr:nvSpPr>
      <xdr:spPr>
        <a:xfrm flipH="1">
          <a:off x="13820775" y="23345775"/>
          <a:ext cx="0" cy="2476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123</xdr:row>
      <xdr:rowOff>38100</xdr:rowOff>
    </xdr:from>
    <xdr:to>
      <xdr:col>23</xdr:col>
      <xdr:colOff>428625</xdr:colOff>
      <xdr:row>123</xdr:row>
      <xdr:rowOff>38100</xdr:rowOff>
    </xdr:to>
    <xdr:sp>
      <xdr:nvSpPr>
        <xdr:cNvPr id="169" name="Straight Arrow Connector 275"/>
        <xdr:cNvSpPr>
          <a:spLocks/>
        </xdr:cNvSpPr>
      </xdr:nvSpPr>
      <xdr:spPr>
        <a:xfrm>
          <a:off x="12849225" y="23955375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266700</xdr:colOff>
      <xdr:row>129</xdr:row>
      <xdr:rowOff>161925</xdr:rowOff>
    </xdr:from>
    <xdr:to>
      <xdr:col>20</xdr:col>
      <xdr:colOff>523875</xdr:colOff>
      <xdr:row>129</xdr:row>
      <xdr:rowOff>161925</xdr:rowOff>
    </xdr:to>
    <xdr:sp>
      <xdr:nvSpPr>
        <xdr:cNvPr id="170" name="Straight Arrow Connector 276"/>
        <xdr:cNvSpPr>
          <a:spLocks/>
        </xdr:cNvSpPr>
      </xdr:nvSpPr>
      <xdr:spPr>
        <a:xfrm>
          <a:off x="11229975" y="25279350"/>
          <a:ext cx="2571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571500</xdr:colOff>
      <xdr:row>124</xdr:row>
      <xdr:rowOff>133350</xdr:rowOff>
    </xdr:from>
    <xdr:to>
      <xdr:col>21</xdr:col>
      <xdr:colOff>571500</xdr:colOff>
      <xdr:row>126</xdr:row>
      <xdr:rowOff>9525</xdr:rowOff>
    </xdr:to>
    <xdr:sp>
      <xdr:nvSpPr>
        <xdr:cNvPr id="171" name="Straight Arrow Connector 277"/>
        <xdr:cNvSpPr>
          <a:spLocks/>
        </xdr:cNvSpPr>
      </xdr:nvSpPr>
      <xdr:spPr>
        <a:xfrm flipH="1">
          <a:off x="12106275" y="24250650"/>
          <a:ext cx="0" cy="3048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125</xdr:row>
      <xdr:rowOff>142875</xdr:rowOff>
    </xdr:from>
    <xdr:to>
      <xdr:col>19</xdr:col>
      <xdr:colOff>0</xdr:colOff>
      <xdr:row>127</xdr:row>
      <xdr:rowOff>9525</xdr:rowOff>
    </xdr:to>
    <xdr:sp>
      <xdr:nvSpPr>
        <xdr:cNvPr id="172" name="Straight Arrow Connector 278"/>
        <xdr:cNvSpPr>
          <a:spLocks/>
        </xdr:cNvSpPr>
      </xdr:nvSpPr>
      <xdr:spPr>
        <a:xfrm flipH="1">
          <a:off x="10391775" y="24488775"/>
          <a:ext cx="0" cy="2571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119</xdr:row>
      <xdr:rowOff>95250</xdr:rowOff>
    </xdr:from>
    <xdr:to>
      <xdr:col>19</xdr:col>
      <xdr:colOff>9525</xdr:colOff>
      <xdr:row>120</xdr:row>
      <xdr:rowOff>152400</xdr:rowOff>
    </xdr:to>
    <xdr:sp>
      <xdr:nvSpPr>
        <xdr:cNvPr id="173" name="Straight Arrow Connector 279"/>
        <xdr:cNvSpPr>
          <a:spLocks/>
        </xdr:cNvSpPr>
      </xdr:nvSpPr>
      <xdr:spPr>
        <a:xfrm flipH="1">
          <a:off x="10401300" y="23202900"/>
          <a:ext cx="0" cy="2762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189</xdr:row>
      <xdr:rowOff>0</xdr:rowOff>
    </xdr:from>
    <xdr:to>
      <xdr:col>25</xdr:col>
      <xdr:colOff>381000</xdr:colOff>
      <xdr:row>189</xdr:row>
      <xdr:rowOff>0</xdr:rowOff>
    </xdr:to>
    <xdr:sp>
      <xdr:nvSpPr>
        <xdr:cNvPr id="174" name="Straight Arrow Connector 3"/>
        <xdr:cNvSpPr>
          <a:spLocks/>
        </xdr:cNvSpPr>
      </xdr:nvSpPr>
      <xdr:spPr>
        <a:xfrm>
          <a:off x="13830300" y="36671250"/>
          <a:ext cx="3714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571500</xdr:colOff>
      <xdr:row>224</xdr:row>
      <xdr:rowOff>0</xdr:rowOff>
    </xdr:from>
    <xdr:to>
      <xdr:col>26</xdr:col>
      <xdr:colOff>361950</xdr:colOff>
      <xdr:row>224</xdr:row>
      <xdr:rowOff>0</xdr:rowOff>
    </xdr:to>
    <xdr:sp>
      <xdr:nvSpPr>
        <xdr:cNvPr id="175" name="Straight Arrow Connector 280"/>
        <xdr:cNvSpPr>
          <a:spLocks/>
        </xdr:cNvSpPr>
      </xdr:nvSpPr>
      <xdr:spPr>
        <a:xfrm>
          <a:off x="14392275" y="43567350"/>
          <a:ext cx="361950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5</xdr:row>
      <xdr:rowOff>9525</xdr:rowOff>
    </xdr:from>
    <xdr:to>
      <xdr:col>22</xdr:col>
      <xdr:colOff>419100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62025"/>
          <a:ext cx="12620625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3</xdr:row>
      <xdr:rowOff>19050</xdr:rowOff>
    </xdr:from>
    <xdr:to>
      <xdr:col>12</xdr:col>
      <xdr:colOff>104775</xdr:colOff>
      <xdr:row>15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90550"/>
          <a:ext cx="64579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19</xdr:row>
      <xdr:rowOff>47625</xdr:rowOff>
    </xdr:from>
    <xdr:to>
      <xdr:col>14</xdr:col>
      <xdr:colOff>209550</xdr:colOff>
      <xdr:row>30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667125"/>
          <a:ext cx="75723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vmlDrawing" Target="../drawings/vmlDrawing1.vm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pjUxSOCRVoo" TargetMode="External" /><Relationship Id="rId2" Type="http://schemas.openxmlformats.org/officeDocument/2006/relationships/hyperlink" Target="https://www.youtube.com/watch?v=t35MO1iMp4w" TargetMode="External" /><Relationship Id="rId3" Type="http://schemas.openxmlformats.org/officeDocument/2006/relationships/hyperlink" Target="https://www.youtube.com/watch?v=Tg4U3PdzzoY" TargetMode="External" /><Relationship Id="rId4" Type="http://schemas.openxmlformats.org/officeDocument/2006/relationships/hyperlink" Target="http://www.piping-tools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374"/>
  <sheetViews>
    <sheetView showGridLines="0" tabSelected="1" zoomScalePageLayoutView="0" workbookViewId="0" topLeftCell="A1">
      <selection activeCell="N338" sqref="N338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27" width="8.57421875" style="0" customWidth="1"/>
    <col min="28" max="28" width="8.57421875" style="114" customWidth="1"/>
    <col min="29" max="57" width="8.57421875" style="0" customWidth="1"/>
  </cols>
  <sheetData>
    <row r="1" ht="15.75" thickBot="1"/>
    <row r="2" spans="2:28" ht="15.75" thickTop="1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115">
        <v>1</v>
      </c>
    </row>
    <row r="3" spans="2:28" ht="18.75">
      <c r="B3" s="25"/>
      <c r="C3" s="6"/>
      <c r="D3" s="177" t="s">
        <v>271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16"/>
    </row>
    <row r="4" spans="2:28" ht="15"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6"/>
      <c r="X4" s="6"/>
      <c r="Y4" s="6"/>
      <c r="Z4" s="6"/>
      <c r="AA4" s="6"/>
      <c r="AB4" s="116"/>
    </row>
    <row r="5" spans="2:28" ht="15"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V5" s="6"/>
      <c r="W5" s="6"/>
      <c r="X5" s="6"/>
      <c r="Y5" s="6"/>
      <c r="Z5" s="6"/>
      <c r="AA5" s="6"/>
      <c r="AB5" s="116"/>
    </row>
    <row r="6" spans="2:28" ht="15">
      <c r="B6" s="25"/>
      <c r="C6" s="6" t="s">
        <v>172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6"/>
      <c r="R6" s="6"/>
      <c r="S6" s="6"/>
      <c r="T6" s="6"/>
      <c r="V6" s="6"/>
      <c r="W6" s="6"/>
      <c r="X6" s="6"/>
      <c r="Y6" s="6"/>
      <c r="Z6" s="6"/>
      <c r="AA6" s="6"/>
      <c r="AB6" s="116"/>
    </row>
    <row r="7" spans="2:28" ht="15">
      <c r="B7" s="2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Q7" s="6"/>
      <c r="R7" s="6"/>
      <c r="S7" s="6"/>
      <c r="T7" s="6"/>
      <c r="V7" s="6"/>
      <c r="W7" s="6"/>
      <c r="X7" s="6"/>
      <c r="Y7" s="6"/>
      <c r="Z7" s="6"/>
      <c r="AA7" s="6"/>
      <c r="AB7" s="116"/>
    </row>
    <row r="8" spans="2:28" ht="15.75" thickBot="1">
      <c r="B8" s="25"/>
      <c r="C8" s="175"/>
      <c r="D8" s="6"/>
      <c r="E8" s="6"/>
      <c r="F8" s="6"/>
      <c r="G8" s="6"/>
      <c r="O8" s="6"/>
      <c r="V8" s="6"/>
      <c r="W8" s="6"/>
      <c r="X8" s="6"/>
      <c r="Y8" s="6"/>
      <c r="Z8" s="6"/>
      <c r="AA8" s="6"/>
      <c r="AB8" s="116"/>
    </row>
    <row r="9" spans="2:28" ht="15.75" thickTop="1">
      <c r="B9" s="25"/>
      <c r="C9" s="26"/>
      <c r="D9" s="168" t="s">
        <v>157</v>
      </c>
      <c r="E9" s="27"/>
      <c r="F9" s="27"/>
      <c r="G9" s="27"/>
      <c r="H9" s="30"/>
      <c r="J9" s="174" t="s">
        <v>168</v>
      </c>
      <c r="K9" s="27"/>
      <c r="L9" s="27"/>
      <c r="M9" s="30"/>
      <c r="O9" s="26"/>
      <c r="P9" s="168" t="s">
        <v>169</v>
      </c>
      <c r="Q9" s="27"/>
      <c r="R9" s="27"/>
      <c r="S9" s="27"/>
      <c r="T9" s="30"/>
      <c r="V9" s="6"/>
      <c r="W9" s="6"/>
      <c r="X9" s="6"/>
      <c r="Y9" s="6"/>
      <c r="Z9" s="6"/>
      <c r="AA9" s="6"/>
      <c r="AB9" s="116"/>
    </row>
    <row r="10" spans="2:28" ht="15">
      <c r="B10" s="25"/>
      <c r="C10" s="25"/>
      <c r="D10" s="6"/>
      <c r="E10" s="6" t="s">
        <v>213</v>
      </c>
      <c r="F10" s="6"/>
      <c r="G10" s="6"/>
      <c r="H10" s="31"/>
      <c r="J10" s="25" t="s">
        <v>175</v>
      </c>
      <c r="K10" s="6"/>
      <c r="L10" s="6"/>
      <c r="M10" s="31"/>
      <c r="O10" s="25"/>
      <c r="P10" s="6"/>
      <c r="Q10" s="6"/>
      <c r="R10" s="6"/>
      <c r="S10" s="6"/>
      <c r="T10" s="31"/>
      <c r="V10" s="6"/>
      <c r="W10" s="6"/>
      <c r="X10" s="6"/>
      <c r="Y10" s="6"/>
      <c r="Z10" s="6"/>
      <c r="AA10" s="6"/>
      <c r="AB10" s="116"/>
    </row>
    <row r="11" spans="2:28" ht="15">
      <c r="B11" s="25"/>
      <c r="C11" s="25"/>
      <c r="D11" s="93" t="s">
        <v>115</v>
      </c>
      <c r="E11" s="93" t="s">
        <v>283</v>
      </c>
      <c r="F11" s="93" t="s">
        <v>116</v>
      </c>
      <c r="G11" s="93" t="s">
        <v>117</v>
      </c>
      <c r="H11" s="31"/>
      <c r="J11" s="25" t="s">
        <v>177</v>
      </c>
      <c r="K11" s="6"/>
      <c r="L11" s="6"/>
      <c r="M11" s="31"/>
      <c r="O11" s="25"/>
      <c r="P11" s="6" t="s">
        <v>171</v>
      </c>
      <c r="Q11" s="6"/>
      <c r="R11" s="6"/>
      <c r="S11" s="6"/>
      <c r="T11" s="31"/>
      <c r="V11" s="6"/>
      <c r="W11" s="6"/>
      <c r="X11" s="6"/>
      <c r="Y11" s="6"/>
      <c r="Z11" s="6"/>
      <c r="AA11" s="6"/>
      <c r="AB11" s="116"/>
    </row>
    <row r="12" spans="2:28" ht="15">
      <c r="B12" s="25"/>
      <c r="C12" s="131" t="s">
        <v>150</v>
      </c>
      <c r="D12" s="68" t="s">
        <v>33</v>
      </c>
      <c r="E12" s="189">
        <v>-30.48</v>
      </c>
      <c r="F12" s="189">
        <v>365.76</v>
      </c>
      <c r="G12" s="189">
        <v>76.2</v>
      </c>
      <c r="H12" s="31"/>
      <c r="J12" s="65" t="s">
        <v>14</v>
      </c>
      <c r="K12" s="13">
        <v>300</v>
      </c>
      <c r="L12" s="6" t="s">
        <v>185</v>
      </c>
      <c r="M12" s="31"/>
      <c r="O12" s="25"/>
      <c r="P12" s="6" t="s">
        <v>285</v>
      </c>
      <c r="Q12" s="6"/>
      <c r="R12" s="6"/>
      <c r="S12" s="6"/>
      <c r="T12" s="31"/>
      <c r="V12" s="6"/>
      <c r="W12" s="6"/>
      <c r="X12" s="6"/>
      <c r="Y12" s="6"/>
      <c r="Z12" s="6"/>
      <c r="AA12" s="6"/>
      <c r="AB12" s="116"/>
    </row>
    <row r="13" spans="2:28" ht="15">
      <c r="B13" s="25"/>
      <c r="C13" s="179">
        <v>1</v>
      </c>
      <c r="D13" s="43" t="s">
        <v>25</v>
      </c>
      <c r="E13" s="189">
        <v>457.20000000000005</v>
      </c>
      <c r="F13" s="189">
        <v>365.76</v>
      </c>
      <c r="G13" s="189">
        <v>30.48</v>
      </c>
      <c r="H13" s="31"/>
      <c r="J13" s="25"/>
      <c r="K13" s="6"/>
      <c r="L13" s="6"/>
      <c r="M13" s="31"/>
      <c r="O13" s="25"/>
      <c r="P13" s="6"/>
      <c r="Q13" s="6"/>
      <c r="R13" s="6"/>
      <c r="S13" s="6"/>
      <c r="T13" s="31"/>
      <c r="V13" s="6"/>
      <c r="W13" s="6"/>
      <c r="X13" s="6"/>
      <c r="Y13" s="6"/>
      <c r="Z13" s="6"/>
      <c r="AA13" s="6"/>
      <c r="AB13" s="116"/>
    </row>
    <row r="14" spans="2:28" ht="15">
      <c r="B14" s="25"/>
      <c r="C14" s="179">
        <v>2</v>
      </c>
      <c r="D14" s="43" t="s">
        <v>28</v>
      </c>
      <c r="E14" s="189">
        <v>457.20000000000005</v>
      </c>
      <c r="F14" s="189">
        <v>243.84</v>
      </c>
      <c r="G14" s="189">
        <v>24.384</v>
      </c>
      <c r="H14" s="31"/>
      <c r="J14" s="25" t="s">
        <v>178</v>
      </c>
      <c r="K14" s="6"/>
      <c r="L14" s="6"/>
      <c r="M14" s="31"/>
      <c r="O14" s="25"/>
      <c r="P14" s="11" t="s">
        <v>75</v>
      </c>
      <c r="Q14" s="11" t="s">
        <v>221</v>
      </c>
      <c r="R14" s="11" t="s">
        <v>32</v>
      </c>
      <c r="S14" s="11" t="s">
        <v>212</v>
      </c>
      <c r="T14" s="31"/>
      <c r="V14" s="6"/>
      <c r="W14" s="6"/>
      <c r="X14" s="6"/>
      <c r="Y14" s="6"/>
      <c r="Z14" s="6"/>
      <c r="AA14" s="6"/>
      <c r="AB14" s="116"/>
    </row>
    <row r="15" spans="2:28" ht="15">
      <c r="B15" s="25"/>
      <c r="C15" s="179">
        <v>3</v>
      </c>
      <c r="D15" s="43" t="s">
        <v>31</v>
      </c>
      <c r="E15" s="189">
        <v>457.20000000000005</v>
      </c>
      <c r="F15" s="189">
        <v>0</v>
      </c>
      <c r="G15" s="189">
        <v>41.148</v>
      </c>
      <c r="H15" s="31"/>
      <c r="J15" s="65" t="s">
        <v>7</v>
      </c>
      <c r="K15" s="191">
        <v>4315.3674</v>
      </c>
      <c r="L15" s="6" t="s">
        <v>215</v>
      </c>
      <c r="M15" s="31"/>
      <c r="O15" s="25"/>
      <c r="P15" s="43" t="s">
        <v>70</v>
      </c>
      <c r="Q15" s="46">
        <v>0.2032</v>
      </c>
      <c r="R15" s="46">
        <v>130</v>
      </c>
      <c r="S15" s="192">
        <v>457.20000000000005</v>
      </c>
      <c r="T15" s="100" t="s">
        <v>0</v>
      </c>
      <c r="V15" s="6"/>
      <c r="W15" s="6"/>
      <c r="X15" s="6"/>
      <c r="Y15" s="6"/>
      <c r="Z15" s="6"/>
      <c r="AA15" s="6"/>
      <c r="AB15" s="116"/>
    </row>
    <row r="16" spans="2:28" ht="15">
      <c r="B16" s="25"/>
      <c r="C16" s="179">
        <v>4</v>
      </c>
      <c r="D16" s="43" t="s">
        <v>30</v>
      </c>
      <c r="E16" s="189">
        <v>228.60000000000002</v>
      </c>
      <c r="F16" s="189">
        <v>0</v>
      </c>
      <c r="G16" s="189">
        <v>24.384</v>
      </c>
      <c r="H16" s="31"/>
      <c r="J16" s="25"/>
      <c r="K16" s="6"/>
      <c r="L16" s="6"/>
      <c r="M16" s="31"/>
      <c r="O16" s="25"/>
      <c r="P16" s="43" t="s">
        <v>71</v>
      </c>
      <c r="Q16" s="46">
        <v>0.2032</v>
      </c>
      <c r="R16" s="46">
        <v>130</v>
      </c>
      <c r="S16" s="192">
        <v>121.92</v>
      </c>
      <c r="T16" s="31"/>
      <c r="V16" s="6"/>
      <c r="W16" s="6"/>
      <c r="X16" s="6"/>
      <c r="Y16" s="6"/>
      <c r="Z16" s="6"/>
      <c r="AA16" s="6"/>
      <c r="AB16" s="116"/>
    </row>
    <row r="17" spans="2:28" ht="15">
      <c r="B17" s="25"/>
      <c r="C17" s="179">
        <v>5</v>
      </c>
      <c r="D17" s="43" t="s">
        <v>29</v>
      </c>
      <c r="E17" s="189">
        <v>0</v>
      </c>
      <c r="F17" s="189">
        <v>0</v>
      </c>
      <c r="G17" s="189">
        <v>42.672000000000004</v>
      </c>
      <c r="H17" s="31"/>
      <c r="J17" s="180" t="s">
        <v>13</v>
      </c>
      <c r="K17" s="11"/>
      <c r="L17" s="6"/>
      <c r="M17" s="31"/>
      <c r="O17" s="25"/>
      <c r="P17" s="43" t="s">
        <v>72</v>
      </c>
      <c r="Q17" s="46">
        <v>0.2032</v>
      </c>
      <c r="R17" s="46">
        <v>130</v>
      </c>
      <c r="S17" s="192">
        <v>228.60000000000002</v>
      </c>
      <c r="T17" s="31"/>
      <c r="V17" s="6"/>
      <c r="W17" s="6"/>
      <c r="X17" s="6"/>
      <c r="Y17" s="6"/>
      <c r="Z17" s="6"/>
      <c r="AA17" s="6"/>
      <c r="AB17" s="116"/>
    </row>
    <row r="18" spans="2:28" ht="15">
      <c r="B18" s="25"/>
      <c r="C18" s="179">
        <v>6</v>
      </c>
      <c r="D18" s="43" t="s">
        <v>26</v>
      </c>
      <c r="E18" s="189">
        <v>0</v>
      </c>
      <c r="F18" s="189">
        <v>243.84</v>
      </c>
      <c r="G18" s="189">
        <v>24.384</v>
      </c>
      <c r="H18" s="31"/>
      <c r="J18" s="65" t="s">
        <v>15</v>
      </c>
      <c r="K18" s="48">
        <f>C20</f>
        <v>8</v>
      </c>
      <c r="L18" s="6" t="s">
        <v>2</v>
      </c>
      <c r="M18" s="31"/>
      <c r="O18" s="25"/>
      <c r="P18" s="43" t="s">
        <v>73</v>
      </c>
      <c r="Q18" s="46">
        <v>0.2032</v>
      </c>
      <c r="R18" s="46">
        <v>130</v>
      </c>
      <c r="S18" s="192">
        <v>228.60000000000002</v>
      </c>
      <c r="T18" s="31"/>
      <c r="V18" s="6"/>
      <c r="W18" s="6"/>
      <c r="X18" s="6"/>
      <c r="Y18" s="6"/>
      <c r="Z18" s="6"/>
      <c r="AA18" s="6"/>
      <c r="AB18" s="116"/>
    </row>
    <row r="19" spans="2:28" ht="15">
      <c r="B19" s="25"/>
      <c r="C19" s="179">
        <v>7</v>
      </c>
      <c r="D19" s="43" t="s">
        <v>24</v>
      </c>
      <c r="E19" s="189">
        <v>0</v>
      </c>
      <c r="F19" s="189">
        <v>365.76</v>
      </c>
      <c r="G19" s="189">
        <v>36.576</v>
      </c>
      <c r="H19" s="31"/>
      <c r="J19" s="25"/>
      <c r="K19" s="6"/>
      <c r="L19" s="6"/>
      <c r="M19" s="31"/>
      <c r="O19" s="25"/>
      <c r="P19" s="43" t="s">
        <v>74</v>
      </c>
      <c r="Q19" s="46">
        <v>0.2032</v>
      </c>
      <c r="R19" s="46">
        <v>130</v>
      </c>
      <c r="S19" s="192">
        <v>121.92</v>
      </c>
      <c r="T19" s="31"/>
      <c r="V19" s="6"/>
      <c r="W19" s="6"/>
      <c r="X19" s="6"/>
      <c r="Y19" s="6"/>
      <c r="Z19" s="6"/>
      <c r="AA19" s="6"/>
      <c r="AB19" s="116"/>
    </row>
    <row r="20" spans="2:28" ht="15">
      <c r="B20" s="25"/>
      <c r="C20" s="179">
        <v>8</v>
      </c>
      <c r="D20" s="43" t="s">
        <v>27</v>
      </c>
      <c r="E20" s="189">
        <v>228.60000000000002</v>
      </c>
      <c r="F20" s="189">
        <v>243.84</v>
      </c>
      <c r="G20" s="189">
        <v>44.196000000000005</v>
      </c>
      <c r="H20" s="31"/>
      <c r="J20" s="180" t="s">
        <v>284</v>
      </c>
      <c r="K20" s="6"/>
      <c r="L20" s="6"/>
      <c r="M20" s="31"/>
      <c r="O20" s="25"/>
      <c r="P20" s="11"/>
      <c r="Q20" s="43" t="s">
        <v>0</v>
      </c>
      <c r="R20" s="43" t="s">
        <v>0</v>
      </c>
      <c r="S20" s="44" t="s">
        <v>0</v>
      </c>
      <c r="T20" s="31"/>
      <c r="V20" s="6"/>
      <c r="W20" s="6"/>
      <c r="X20" s="6"/>
      <c r="Y20" s="6"/>
      <c r="Z20" s="6"/>
      <c r="AA20" s="6"/>
      <c r="AB20" s="116"/>
    </row>
    <row r="21" spans="2:28" ht="15.75" thickBot="1">
      <c r="B21" s="25"/>
      <c r="C21" s="28"/>
      <c r="D21" s="29"/>
      <c r="E21" s="29"/>
      <c r="F21" s="29"/>
      <c r="G21" s="29"/>
      <c r="H21" s="32"/>
      <c r="J21" s="65" t="s">
        <v>12</v>
      </c>
      <c r="K21" s="13">
        <v>1.75</v>
      </c>
      <c r="L21" s="6" t="s">
        <v>2</v>
      </c>
      <c r="M21" s="31"/>
      <c r="O21" s="25"/>
      <c r="P21" s="43" t="s">
        <v>78</v>
      </c>
      <c r="Q21" s="46">
        <v>0.2032</v>
      </c>
      <c r="R21" s="46">
        <v>130</v>
      </c>
      <c r="S21" s="192">
        <v>228.60000000000002</v>
      </c>
      <c r="T21" s="31"/>
      <c r="V21" s="6"/>
      <c r="W21" s="6"/>
      <c r="X21" s="6"/>
      <c r="Y21" s="6"/>
      <c r="Z21" s="6"/>
      <c r="AA21" s="6"/>
      <c r="AB21" s="116"/>
    </row>
    <row r="22" spans="2:28" ht="15.75" thickTop="1">
      <c r="B22" s="25"/>
      <c r="J22" s="25"/>
      <c r="K22" s="6"/>
      <c r="L22" s="6"/>
      <c r="M22" s="31"/>
      <c r="O22" s="25"/>
      <c r="P22" s="43" t="s">
        <v>79</v>
      </c>
      <c r="Q22" s="46">
        <v>0.2032</v>
      </c>
      <c r="R22" s="46">
        <v>130</v>
      </c>
      <c r="S22" s="192">
        <v>243.84</v>
      </c>
      <c r="T22" s="31"/>
      <c r="V22" s="6"/>
      <c r="W22" s="6"/>
      <c r="X22" s="6"/>
      <c r="Y22" s="6"/>
      <c r="Z22" s="6"/>
      <c r="AA22" s="6"/>
      <c r="AB22" s="116"/>
    </row>
    <row r="23" spans="2:28" ht="15">
      <c r="B23" s="25"/>
      <c r="H23" s="6"/>
      <c r="J23" s="25" t="s">
        <v>176</v>
      </c>
      <c r="K23" s="6"/>
      <c r="L23" s="6"/>
      <c r="M23" s="31"/>
      <c r="O23" s="25"/>
      <c r="P23" s="43" t="s">
        <v>80</v>
      </c>
      <c r="Q23" s="46">
        <v>0.2032</v>
      </c>
      <c r="R23" s="46">
        <v>130</v>
      </c>
      <c r="S23" s="192">
        <v>228.60000000000002</v>
      </c>
      <c r="T23" s="31"/>
      <c r="V23" s="6"/>
      <c r="W23" s="6"/>
      <c r="X23" s="6"/>
      <c r="Y23" s="6"/>
      <c r="Z23" s="6"/>
      <c r="AA23" s="6"/>
      <c r="AB23" s="116"/>
    </row>
    <row r="24" spans="2:28" ht="15">
      <c r="B24" s="25"/>
      <c r="D24" s="1"/>
      <c r="J24" s="65" t="s">
        <v>23</v>
      </c>
      <c r="K24" s="191">
        <v>6624.467500000001</v>
      </c>
      <c r="L24" s="6" t="s">
        <v>214</v>
      </c>
      <c r="M24" s="31"/>
      <c r="N24" s="6"/>
      <c r="O24" s="25"/>
      <c r="P24" s="43" t="s">
        <v>81</v>
      </c>
      <c r="Q24" s="46">
        <v>0.2032</v>
      </c>
      <c r="R24" s="46">
        <v>130</v>
      </c>
      <c r="S24" s="192">
        <v>243.84</v>
      </c>
      <c r="T24" s="31"/>
      <c r="V24" s="6"/>
      <c r="W24" s="6"/>
      <c r="X24" s="6"/>
      <c r="Y24" s="6"/>
      <c r="Z24" s="6"/>
      <c r="AA24" s="6"/>
      <c r="AB24" s="116"/>
    </row>
    <row r="25" spans="2:28" ht="15.75" thickBot="1">
      <c r="B25" s="25"/>
      <c r="D25" s="1"/>
      <c r="J25" s="28"/>
      <c r="K25" s="29"/>
      <c r="L25" s="29"/>
      <c r="M25" s="32"/>
      <c r="N25" s="6"/>
      <c r="O25" s="25"/>
      <c r="P25" s="11"/>
      <c r="Q25" s="43" t="s">
        <v>0</v>
      </c>
      <c r="R25" s="43" t="s">
        <v>0</v>
      </c>
      <c r="S25" s="44" t="s">
        <v>0</v>
      </c>
      <c r="T25" s="31"/>
      <c r="V25" s="6"/>
      <c r="W25" s="6"/>
      <c r="AA25" s="6"/>
      <c r="AB25" s="116"/>
    </row>
    <row r="26" spans="2:28" ht="15.75" thickTop="1">
      <c r="B26" s="25"/>
      <c r="D26" s="1"/>
      <c r="N26" s="6"/>
      <c r="O26" s="25"/>
      <c r="P26" s="43" t="s">
        <v>83</v>
      </c>
      <c r="Q26" s="46">
        <v>0.2032</v>
      </c>
      <c r="R26" s="46">
        <v>130</v>
      </c>
      <c r="S26" s="192">
        <v>228.60000000000002</v>
      </c>
      <c r="T26" s="31"/>
      <c r="V26" s="6"/>
      <c r="W26" s="6"/>
      <c r="AA26" s="6"/>
      <c r="AB26" s="116"/>
    </row>
    <row r="27" spans="2:28" ht="15">
      <c r="B27" s="25"/>
      <c r="N27" s="6"/>
      <c r="O27" s="25"/>
      <c r="P27" s="43" t="s">
        <v>84</v>
      </c>
      <c r="Q27" s="46">
        <v>0.2032</v>
      </c>
      <c r="R27" s="46">
        <v>130</v>
      </c>
      <c r="S27" s="192">
        <v>243.84</v>
      </c>
      <c r="T27" s="31"/>
      <c r="V27" s="6"/>
      <c r="W27" s="6"/>
      <c r="AA27" s="6"/>
      <c r="AB27" s="116"/>
    </row>
    <row r="28" spans="2:28" ht="15">
      <c r="B28" s="25"/>
      <c r="N28" s="6"/>
      <c r="O28" s="25"/>
      <c r="P28" s="43" t="s">
        <v>85</v>
      </c>
      <c r="Q28" s="46">
        <v>0.2032</v>
      </c>
      <c r="R28" s="46">
        <v>130</v>
      </c>
      <c r="S28" s="192">
        <v>228.60000000000002</v>
      </c>
      <c r="T28" s="31"/>
      <c r="V28" s="6"/>
      <c r="W28" s="6"/>
      <c r="AA28" s="6"/>
      <c r="AB28" s="116"/>
    </row>
    <row r="29" spans="2:28" ht="15">
      <c r="B29" s="25"/>
      <c r="N29" s="6"/>
      <c r="O29" s="25"/>
      <c r="P29" s="43" t="s">
        <v>86</v>
      </c>
      <c r="Q29" s="46">
        <v>0.2032</v>
      </c>
      <c r="R29" s="46">
        <v>130</v>
      </c>
      <c r="S29" s="192">
        <v>243.84</v>
      </c>
      <c r="T29" s="31"/>
      <c r="V29" s="6"/>
      <c r="W29" s="6"/>
      <c r="AA29" s="6"/>
      <c r="AB29" s="116"/>
    </row>
    <row r="30" spans="2:28" ht="15">
      <c r="B30" s="25"/>
      <c r="N30" s="6"/>
      <c r="O30" s="25"/>
      <c r="P30" s="11"/>
      <c r="Q30" s="11"/>
      <c r="R30" s="11"/>
      <c r="S30" s="14"/>
      <c r="T30" s="31"/>
      <c r="V30" s="6"/>
      <c r="W30" s="6"/>
      <c r="AA30" s="6"/>
      <c r="AB30" s="116"/>
    </row>
    <row r="31" spans="2:28" ht="15">
      <c r="B31" s="25"/>
      <c r="C31" t="s">
        <v>267</v>
      </c>
      <c r="N31" s="6"/>
      <c r="O31" s="25"/>
      <c r="P31" s="68" t="s">
        <v>136</v>
      </c>
      <c r="Q31" s="46">
        <v>0.2032</v>
      </c>
      <c r="R31" s="46">
        <v>130</v>
      </c>
      <c r="S31" s="192">
        <v>30.48</v>
      </c>
      <c r="T31" s="31"/>
      <c r="V31" s="6"/>
      <c r="W31" s="6"/>
      <c r="AA31" s="6"/>
      <c r="AB31" s="116"/>
    </row>
    <row r="32" spans="2:28" ht="15.75" thickBot="1">
      <c r="B32" s="25"/>
      <c r="C32" s="4" t="s">
        <v>268</v>
      </c>
      <c r="N32" s="6"/>
      <c r="O32" s="28"/>
      <c r="P32" s="29"/>
      <c r="Q32" s="29"/>
      <c r="R32" s="29"/>
      <c r="S32" s="29"/>
      <c r="T32" s="32"/>
      <c r="V32" s="6"/>
      <c r="AA32" s="6"/>
      <c r="AB32" s="116"/>
    </row>
    <row r="33" spans="2:28" ht="15.75" thickTop="1">
      <c r="B33" s="25"/>
      <c r="C33" t="s">
        <v>269</v>
      </c>
      <c r="N33" s="6"/>
      <c r="O33" s="6"/>
      <c r="T33" s="6"/>
      <c r="V33" s="6"/>
      <c r="AA33" s="6"/>
      <c r="AB33" s="116"/>
    </row>
    <row r="34" spans="2:28" ht="15">
      <c r="B34" s="25"/>
      <c r="C34" t="s">
        <v>270</v>
      </c>
      <c r="N34" s="6"/>
      <c r="O34" s="6"/>
      <c r="P34" t="s">
        <v>286</v>
      </c>
      <c r="T34" s="6"/>
      <c r="V34" s="6"/>
      <c r="AA34" s="6"/>
      <c r="AB34" s="116"/>
    </row>
    <row r="35" spans="2:28" ht="15">
      <c r="B35" s="25"/>
      <c r="I35" s="6"/>
      <c r="J35" s="6"/>
      <c r="K35" s="6"/>
      <c r="L35" s="6"/>
      <c r="M35" s="6"/>
      <c r="N35" s="6"/>
      <c r="O35" s="6"/>
      <c r="T35" s="6"/>
      <c r="U35" s="6"/>
      <c r="V35" s="6"/>
      <c r="AA35" s="6"/>
      <c r="AB35" s="116"/>
    </row>
    <row r="36" spans="2:28" ht="15.75" thickBo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117"/>
    </row>
    <row r="37" ht="15.75" thickTop="1"/>
    <row r="38" ht="15.75" thickBot="1"/>
    <row r="39" spans="2:28" ht="15.75" thickTop="1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115">
        <v>2</v>
      </c>
    </row>
    <row r="40" spans="2:28" ht="15">
      <c r="B40" s="25"/>
      <c r="C40" s="145" t="s">
        <v>179</v>
      </c>
      <c r="D40" s="6"/>
      <c r="E40" s="6"/>
      <c r="F40" s="6"/>
      <c r="G40" s="6"/>
      <c r="H40" s="6"/>
      <c r="I40" s="6"/>
      <c r="K40" s="6"/>
      <c r="L40" s="6"/>
      <c r="M40" s="6"/>
      <c r="N40" s="6"/>
      <c r="O40" s="6"/>
      <c r="P40" s="6"/>
      <c r="Q40" s="6"/>
      <c r="R40" s="6"/>
      <c r="S40" s="6"/>
      <c r="U40" s="6"/>
      <c r="V40" s="6"/>
      <c r="W40" s="6"/>
      <c r="X40" s="6"/>
      <c r="Y40" s="6"/>
      <c r="Z40" s="6"/>
      <c r="AA40" s="6"/>
      <c r="AB40" s="116"/>
    </row>
    <row r="41" spans="2:28" ht="15">
      <c r="B41" s="25"/>
      <c r="C41" s="6"/>
      <c r="D41" s="6"/>
      <c r="E41" s="6"/>
      <c r="F41" s="6"/>
      <c r="G41" s="6"/>
      <c r="H41" s="182"/>
      <c r="I41" s="182" t="s">
        <v>181</v>
      </c>
      <c r="J41" s="6"/>
      <c r="K41" s="6"/>
      <c r="L41" s="6"/>
      <c r="M41" s="6"/>
      <c r="N41" s="6"/>
      <c r="O41" s="6"/>
      <c r="P41" s="6"/>
      <c r="Q41" s="6"/>
      <c r="R41" s="6"/>
      <c r="S41" s="6"/>
      <c r="U41" s="6"/>
      <c r="V41" s="19" t="s">
        <v>0</v>
      </c>
      <c r="W41" s="11"/>
      <c r="X41" s="6"/>
      <c r="Y41" s="6"/>
      <c r="Z41" s="6"/>
      <c r="AA41" s="6"/>
      <c r="AB41" s="116"/>
    </row>
    <row r="42" spans="2:28" ht="15">
      <c r="B42" s="25"/>
      <c r="C42" s="6" t="s">
        <v>180</v>
      </c>
      <c r="D42" s="6"/>
      <c r="E42" s="6"/>
      <c r="F42" s="6"/>
      <c r="G42" s="6"/>
      <c r="H42" s="6"/>
      <c r="I42" s="6"/>
      <c r="T42" s="173" t="s">
        <v>193</v>
      </c>
      <c r="U42" s="6"/>
      <c r="X42" s="6"/>
      <c r="Y42" s="6"/>
      <c r="Z42" s="6"/>
      <c r="AA42" s="6"/>
      <c r="AB42" s="116"/>
    </row>
    <row r="43" spans="2:28" ht="15">
      <c r="B43" s="25"/>
      <c r="C43" s="6"/>
      <c r="D43" s="6"/>
      <c r="E43" s="6"/>
      <c r="F43" s="6"/>
      <c r="G43" s="6"/>
      <c r="H43" s="6"/>
      <c r="I43" s="6" t="s">
        <v>182</v>
      </c>
      <c r="J43" s="6"/>
      <c r="K43" s="6"/>
      <c r="L43" s="6"/>
      <c r="M43" s="6"/>
      <c r="N43" s="183" t="s">
        <v>191</v>
      </c>
      <c r="O43" s="6"/>
      <c r="P43" s="6"/>
      <c r="Q43" s="6"/>
      <c r="R43" s="6"/>
      <c r="T43" s="6" t="s">
        <v>192</v>
      </c>
      <c r="AB43" s="116"/>
    </row>
    <row r="44" spans="2:28" ht="15">
      <c r="B44" s="25"/>
      <c r="C44" s="6"/>
      <c r="D44" s="6"/>
      <c r="E44" s="6"/>
      <c r="F44" s="6"/>
      <c r="G44" s="6"/>
      <c r="H44" s="6"/>
      <c r="I44" s="6" t="s">
        <v>183</v>
      </c>
      <c r="J44" s="6"/>
      <c r="K44" s="6"/>
      <c r="L44" s="6"/>
      <c r="M44" s="6"/>
      <c r="N44" s="183" t="s">
        <v>22</v>
      </c>
      <c r="O44" s="6"/>
      <c r="P44" s="6"/>
      <c r="Q44" s="6"/>
      <c r="R44" s="6"/>
      <c r="AB44" s="116"/>
    </row>
    <row r="45" spans="2:28" ht="15">
      <c r="B45" s="2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1" t="s">
        <v>23</v>
      </c>
      <c r="O45" s="14">
        <f>K24</f>
        <v>6624.467500000001</v>
      </c>
      <c r="P45" s="6" t="s">
        <v>211</v>
      </c>
      <c r="Q45" s="6"/>
      <c r="R45" s="6"/>
      <c r="S45" s="6" t="s">
        <v>66</v>
      </c>
      <c r="T45" s="6"/>
      <c r="U45" s="7"/>
      <c r="V45" s="6"/>
      <c r="W45" s="8" t="s">
        <v>0</v>
      </c>
      <c r="X45" s="6"/>
      <c r="Y45" s="6"/>
      <c r="Z45" s="6"/>
      <c r="AA45" s="6"/>
      <c r="AB45" s="116"/>
    </row>
    <row r="46" spans="2:28" ht="15">
      <c r="B46" s="25"/>
      <c r="C46" s="6"/>
      <c r="D46" s="6"/>
      <c r="E46" s="6"/>
      <c r="F46" s="6"/>
      <c r="G46" s="6"/>
      <c r="H46" s="6"/>
      <c r="I46" s="6" t="s">
        <v>225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9" t="s">
        <v>24</v>
      </c>
      <c r="U46" s="10">
        <f>J68</f>
        <v>196.66387890624998</v>
      </c>
      <c r="V46" s="11"/>
      <c r="W46" s="11"/>
      <c r="X46" s="11"/>
      <c r="Y46" s="11"/>
      <c r="Z46" s="10">
        <f>J68</f>
        <v>196.66387890624998</v>
      </c>
      <c r="AA46" s="6" t="s">
        <v>25</v>
      </c>
      <c r="AB46" s="116"/>
    </row>
    <row r="47" spans="2:28" ht="15">
      <c r="B47" s="25"/>
      <c r="C47" s="6"/>
      <c r="D47" s="6"/>
      <c r="E47" s="6"/>
      <c r="F47" s="6"/>
      <c r="G47" s="6"/>
      <c r="H47" s="6"/>
      <c r="I47" s="11" t="s">
        <v>8</v>
      </c>
      <c r="J47" s="11" t="s">
        <v>16</v>
      </c>
      <c r="K47" s="6"/>
      <c r="L47" s="6" t="s">
        <v>0</v>
      </c>
      <c r="M47" s="6"/>
      <c r="N47" s="6"/>
      <c r="O47" s="6"/>
      <c r="P47" s="6"/>
      <c r="Q47" s="6"/>
      <c r="R47" s="6"/>
      <c r="S47" s="6"/>
      <c r="T47" s="9"/>
      <c r="U47" s="11"/>
      <c r="V47" s="11"/>
      <c r="W47" s="11"/>
      <c r="X47" s="11"/>
      <c r="Y47" s="11"/>
      <c r="Z47" s="11"/>
      <c r="AA47" s="6"/>
      <c r="AB47" s="116"/>
    </row>
    <row r="48" spans="2:28" ht="15.75" thickBot="1">
      <c r="B48" s="25"/>
      <c r="C48" s="6"/>
      <c r="D48" s="6"/>
      <c r="E48" s="6"/>
      <c r="F48" s="6"/>
      <c r="G48" s="6"/>
      <c r="H48" s="6"/>
      <c r="I48" s="48" t="s">
        <v>184</v>
      </c>
      <c r="J48" s="11">
        <f>K12</f>
        <v>300</v>
      </c>
      <c r="K48" s="6" t="s">
        <v>185</v>
      </c>
      <c r="L48" s="6"/>
      <c r="M48" s="6"/>
      <c r="N48" s="6" t="s">
        <v>189</v>
      </c>
      <c r="O48" s="6"/>
      <c r="P48" s="6"/>
      <c r="Q48" s="6"/>
      <c r="R48" s="6"/>
      <c r="S48" s="6"/>
      <c r="T48" s="12" t="s">
        <v>0</v>
      </c>
      <c r="U48" s="11"/>
      <c r="V48" s="11"/>
      <c r="W48" s="11"/>
      <c r="X48" s="11"/>
      <c r="Y48" s="11"/>
      <c r="Z48" s="11"/>
      <c r="AA48" s="6"/>
      <c r="AB48" s="116"/>
    </row>
    <row r="49" spans="2:28" ht="15.75" thickTop="1">
      <c r="B49" s="25"/>
      <c r="C49" s="6"/>
      <c r="D49" s="6"/>
      <c r="E49" s="6"/>
      <c r="F49" s="6"/>
      <c r="G49" s="6"/>
      <c r="H49" s="6"/>
      <c r="I49" s="48" t="s">
        <v>7</v>
      </c>
      <c r="J49" s="14">
        <f>K15</f>
        <v>4315.3674</v>
      </c>
      <c r="K49" s="6" t="s">
        <v>215</v>
      </c>
      <c r="L49" s="6"/>
      <c r="M49" s="6"/>
      <c r="N49" s="174" t="s">
        <v>160</v>
      </c>
      <c r="O49" s="27"/>
      <c r="P49" s="27"/>
      <c r="Q49" s="30"/>
      <c r="R49" s="6"/>
      <c r="S49" s="6"/>
      <c r="T49" s="9"/>
      <c r="U49" s="11"/>
      <c r="V49" s="11"/>
      <c r="W49" s="11"/>
      <c r="X49" s="11"/>
      <c r="Y49" s="11"/>
      <c r="Z49" s="11"/>
      <c r="AA49" s="15" t="s">
        <v>0</v>
      </c>
      <c r="AB49" s="116"/>
    </row>
    <row r="50" spans="2:28" ht="15">
      <c r="B50" s="25"/>
      <c r="C50" s="6"/>
      <c r="D50" s="6"/>
      <c r="E50" s="6"/>
      <c r="F50" s="6"/>
      <c r="G50" s="6"/>
      <c r="H50" s="6"/>
      <c r="I50" s="11" t="s">
        <v>8</v>
      </c>
      <c r="J50" s="181">
        <f>J48*J49</f>
        <v>1294610.22</v>
      </c>
      <c r="K50" s="6" t="s">
        <v>216</v>
      </c>
      <c r="L50" s="6"/>
      <c r="M50" s="6"/>
      <c r="N50" s="25" t="s">
        <v>161</v>
      </c>
      <c r="O50" s="6"/>
      <c r="P50" s="6"/>
      <c r="Q50" s="31"/>
      <c r="R50" s="6"/>
      <c r="S50" s="6"/>
      <c r="T50" s="9"/>
      <c r="U50" s="11"/>
      <c r="V50" s="11"/>
      <c r="W50" s="11"/>
      <c r="X50" s="11"/>
      <c r="Y50" s="11"/>
      <c r="Z50" s="11"/>
      <c r="AA50" s="6"/>
      <c r="AB50" s="116"/>
    </row>
    <row r="51" spans="2:28" ht="15">
      <c r="B51" s="25"/>
      <c r="C51" s="6"/>
      <c r="D51" s="6"/>
      <c r="E51" s="6"/>
      <c r="F51" s="6"/>
      <c r="G51" s="6"/>
      <c r="H51" s="6"/>
      <c r="I51" s="11"/>
      <c r="J51" s="6"/>
      <c r="K51" s="6"/>
      <c r="L51" s="6"/>
      <c r="M51" s="6"/>
      <c r="N51" s="65" t="s">
        <v>50</v>
      </c>
      <c r="O51" s="11" t="s">
        <v>17</v>
      </c>
      <c r="P51" s="22">
        <f aca="true" t="shared" si="0" ref="P51:P57">$J$68</f>
        <v>196.66387890624998</v>
      </c>
      <c r="Q51" s="31" t="s">
        <v>214</v>
      </c>
      <c r="R51" s="6"/>
      <c r="S51" s="6"/>
      <c r="T51" s="9" t="s">
        <v>26</v>
      </c>
      <c r="U51" s="11"/>
      <c r="V51" s="17" t="s">
        <v>0</v>
      </c>
      <c r="W51" s="9" t="s">
        <v>27</v>
      </c>
      <c r="X51" s="6"/>
      <c r="Y51" s="18" t="s">
        <v>0</v>
      </c>
      <c r="Z51" s="11"/>
      <c r="AA51" s="6" t="s">
        <v>28</v>
      </c>
      <c r="AB51" s="116"/>
    </row>
    <row r="52" spans="2:28" ht="15">
      <c r="B52" s="25"/>
      <c r="C52" s="6"/>
      <c r="D52" s="6"/>
      <c r="E52" s="6"/>
      <c r="F52" s="6"/>
      <c r="G52" s="6"/>
      <c r="H52" s="6"/>
      <c r="I52" s="19" t="s">
        <v>226</v>
      </c>
      <c r="J52" s="6"/>
      <c r="K52" s="6"/>
      <c r="L52" s="6"/>
      <c r="M52" s="6"/>
      <c r="N52" s="65" t="s">
        <v>42</v>
      </c>
      <c r="O52" s="11" t="s">
        <v>17</v>
      </c>
      <c r="P52" s="16">
        <f t="shared" si="0"/>
        <v>196.66387890624998</v>
      </c>
      <c r="Q52" s="31" t="s">
        <v>214</v>
      </c>
      <c r="R52" s="6"/>
      <c r="S52" s="6"/>
      <c r="T52" s="9" t="s">
        <v>0</v>
      </c>
      <c r="U52" s="10">
        <f>J68</f>
        <v>196.66387890624998</v>
      </c>
      <c r="V52" s="11"/>
      <c r="W52" s="11"/>
      <c r="X52" s="10">
        <f>J68</f>
        <v>196.66387890624998</v>
      </c>
      <c r="Y52" s="11"/>
      <c r="Z52" s="10">
        <f>J68</f>
        <v>196.66387890624998</v>
      </c>
      <c r="AA52" s="6"/>
      <c r="AB52" s="116"/>
    </row>
    <row r="53" spans="2:28" ht="15">
      <c r="B53" s="25"/>
      <c r="C53" s="6"/>
      <c r="D53" s="6"/>
      <c r="E53" s="6"/>
      <c r="F53" s="6"/>
      <c r="G53" s="6"/>
      <c r="H53" s="6"/>
      <c r="I53" s="48" t="s">
        <v>9</v>
      </c>
      <c r="J53" t="s">
        <v>186</v>
      </c>
      <c r="M53" s="6"/>
      <c r="N53" s="65" t="s">
        <v>51</v>
      </c>
      <c r="O53" s="11" t="s">
        <v>17</v>
      </c>
      <c r="P53" s="16">
        <f t="shared" si="0"/>
        <v>196.66387890624998</v>
      </c>
      <c r="Q53" s="31" t="s">
        <v>214</v>
      </c>
      <c r="R53" s="6"/>
      <c r="S53" s="6"/>
      <c r="T53" s="9"/>
      <c r="U53" s="11"/>
      <c r="V53" s="11"/>
      <c r="W53" s="11"/>
      <c r="X53" s="11"/>
      <c r="Y53" s="11"/>
      <c r="Z53" s="11"/>
      <c r="AA53" s="6"/>
      <c r="AB53" s="116"/>
    </row>
    <row r="54" spans="2:28" ht="15">
      <c r="B54" s="25"/>
      <c r="C54" s="6"/>
      <c r="D54" s="6"/>
      <c r="E54" s="6"/>
      <c r="F54" s="6"/>
      <c r="G54" s="6"/>
      <c r="H54" s="6"/>
      <c r="I54" s="11" t="s">
        <v>9</v>
      </c>
      <c r="J54" s="16">
        <f>J50/(24*60)</f>
        <v>899.0348749999999</v>
      </c>
      <c r="K54" s="6" t="s">
        <v>218</v>
      </c>
      <c r="L54" s="6"/>
      <c r="M54" s="6"/>
      <c r="N54" s="65" t="s">
        <v>52</v>
      </c>
      <c r="O54" s="11" t="s">
        <v>17</v>
      </c>
      <c r="P54" s="16">
        <f t="shared" si="0"/>
        <v>196.66387890624998</v>
      </c>
      <c r="Q54" s="31" t="s">
        <v>214</v>
      </c>
      <c r="R54" s="6"/>
      <c r="S54" s="6"/>
      <c r="T54" s="12" t="s">
        <v>0</v>
      </c>
      <c r="U54" s="11"/>
      <c r="V54" s="11"/>
      <c r="W54" s="11"/>
      <c r="X54" s="20" t="s">
        <v>0</v>
      </c>
      <c r="Y54" s="11"/>
      <c r="Z54" s="11"/>
      <c r="AA54" s="6"/>
      <c r="AB54" s="116"/>
    </row>
    <row r="55" spans="2:28" ht="15">
      <c r="B55" s="25"/>
      <c r="C55" s="6"/>
      <c r="D55" s="6"/>
      <c r="E55" s="6"/>
      <c r="F55" s="6"/>
      <c r="G55" s="6"/>
      <c r="H55" s="6"/>
      <c r="I55" s="11"/>
      <c r="J55" s="6"/>
      <c r="K55" s="6"/>
      <c r="L55" s="6"/>
      <c r="M55" s="6"/>
      <c r="N55" s="65" t="s">
        <v>53</v>
      </c>
      <c r="O55" s="11" t="s">
        <v>17</v>
      </c>
      <c r="P55" s="16">
        <f t="shared" si="0"/>
        <v>196.66387890624998</v>
      </c>
      <c r="Q55" s="31" t="s">
        <v>214</v>
      </c>
      <c r="R55" s="6"/>
      <c r="S55" s="6"/>
      <c r="T55" s="9"/>
      <c r="U55" s="11"/>
      <c r="V55" s="11"/>
      <c r="W55" s="11"/>
      <c r="X55" s="11"/>
      <c r="Y55" s="11"/>
      <c r="Z55" s="11"/>
      <c r="AA55" s="15" t="s">
        <v>0</v>
      </c>
      <c r="AB55" s="116"/>
    </row>
    <row r="56" spans="2:28" ht="15">
      <c r="B56" s="25"/>
      <c r="C56" s="6"/>
      <c r="D56" s="6"/>
      <c r="E56" s="6"/>
      <c r="F56" s="6"/>
      <c r="G56" s="6"/>
      <c r="H56" s="6"/>
      <c r="I56" s="19" t="s">
        <v>287</v>
      </c>
      <c r="J56" s="11"/>
      <c r="K56" s="6"/>
      <c r="L56" s="6"/>
      <c r="M56" s="6"/>
      <c r="N56" s="65" t="s">
        <v>47</v>
      </c>
      <c r="O56" s="11" t="s">
        <v>17</v>
      </c>
      <c r="P56" s="16">
        <f t="shared" si="0"/>
        <v>196.66387890624998</v>
      </c>
      <c r="Q56" s="31" t="s">
        <v>214</v>
      </c>
      <c r="R56" s="6"/>
      <c r="S56" s="6"/>
      <c r="T56" s="9"/>
      <c r="U56" s="11"/>
      <c r="V56" s="11"/>
      <c r="W56" s="11"/>
      <c r="X56" s="11"/>
      <c r="Y56" s="11"/>
      <c r="Z56" s="11"/>
      <c r="AA56" s="6"/>
      <c r="AB56" s="116"/>
    </row>
    <row r="57" spans="2:28" ht="15">
      <c r="B57" s="25"/>
      <c r="C57" s="6"/>
      <c r="D57" s="6"/>
      <c r="E57" s="6"/>
      <c r="F57" s="6"/>
      <c r="G57" s="6"/>
      <c r="H57" s="6"/>
      <c r="I57" s="11" t="s">
        <v>10</v>
      </c>
      <c r="J57" s="6" t="s">
        <v>11</v>
      </c>
      <c r="K57" s="6"/>
      <c r="L57" s="6"/>
      <c r="M57" s="6"/>
      <c r="N57" s="65" t="s">
        <v>49</v>
      </c>
      <c r="O57" s="11" t="s">
        <v>17</v>
      </c>
      <c r="P57" s="16">
        <f t="shared" si="0"/>
        <v>196.66387890624998</v>
      </c>
      <c r="Q57" s="31" t="s">
        <v>214</v>
      </c>
      <c r="R57" s="6"/>
      <c r="S57" s="6"/>
      <c r="U57" s="11"/>
      <c r="V57" s="11"/>
      <c r="W57" s="11"/>
      <c r="X57" s="11"/>
      <c r="Y57" s="11"/>
      <c r="Z57" s="11"/>
      <c r="AA57" s="6"/>
      <c r="AB57" s="116"/>
    </row>
    <row r="58" spans="2:28" ht="15">
      <c r="B58" s="25"/>
      <c r="C58" s="6"/>
      <c r="D58" s="6"/>
      <c r="E58" s="6"/>
      <c r="F58" s="6"/>
      <c r="G58" s="6"/>
      <c r="H58" s="6"/>
      <c r="I58" s="11" t="s">
        <v>9</v>
      </c>
      <c r="J58" s="14">
        <f>J54</f>
        <v>899.0348749999999</v>
      </c>
      <c r="K58" s="6" t="s">
        <v>217</v>
      </c>
      <c r="L58" s="6"/>
      <c r="M58" s="6"/>
      <c r="N58" s="65" t="s">
        <v>54</v>
      </c>
      <c r="O58" s="11" t="s">
        <v>55</v>
      </c>
      <c r="P58" s="22">
        <f>$J$68+O45</f>
        <v>6821.131378906251</v>
      </c>
      <c r="Q58" s="31" t="s">
        <v>214</v>
      </c>
      <c r="R58" s="6"/>
      <c r="S58" s="6" t="s">
        <v>67</v>
      </c>
      <c r="T58" s="9" t="s">
        <v>29</v>
      </c>
      <c r="U58" s="10">
        <f>J68</f>
        <v>196.66387890624998</v>
      </c>
      <c r="V58" s="11"/>
      <c r="W58" s="9" t="s">
        <v>30</v>
      </c>
      <c r="X58" s="10">
        <f>J68</f>
        <v>196.66387890624998</v>
      </c>
      <c r="Y58" s="11"/>
      <c r="Z58" s="10">
        <f>P58</f>
        <v>6821.131378906251</v>
      </c>
      <c r="AA58" s="6" t="s">
        <v>31</v>
      </c>
      <c r="AB58" s="116"/>
    </row>
    <row r="59" spans="2:28" ht="15">
      <c r="B59" s="25"/>
      <c r="C59" s="6"/>
      <c r="D59" s="6"/>
      <c r="E59" s="6"/>
      <c r="F59" s="6"/>
      <c r="G59" s="6"/>
      <c r="H59" s="6"/>
      <c r="I59" s="11" t="s">
        <v>12</v>
      </c>
      <c r="J59" s="11">
        <f>K21</f>
        <v>1.75</v>
      </c>
      <c r="K59" s="6" t="s">
        <v>2</v>
      </c>
      <c r="L59" s="6"/>
      <c r="M59" s="6"/>
      <c r="N59" s="25"/>
      <c r="O59" s="6"/>
      <c r="P59" s="6"/>
      <c r="Q59" s="31"/>
      <c r="R59" s="6"/>
      <c r="S59" s="6"/>
      <c r="T59" s="6"/>
      <c r="U59" s="6"/>
      <c r="V59" s="8" t="s">
        <v>0</v>
      </c>
      <c r="W59" s="6" t="s">
        <v>0</v>
      </c>
      <c r="X59" s="6"/>
      <c r="Y59" s="21" t="s">
        <v>0</v>
      </c>
      <c r="Z59" s="6"/>
      <c r="AA59" s="6"/>
      <c r="AB59" s="116"/>
    </row>
    <row r="60" spans="2:28" ht="15">
      <c r="B60" s="25"/>
      <c r="C60" s="6"/>
      <c r="D60" s="6"/>
      <c r="E60" s="6"/>
      <c r="F60" s="6"/>
      <c r="G60" s="6"/>
      <c r="H60" s="6"/>
      <c r="I60" s="11" t="s">
        <v>10</v>
      </c>
      <c r="J60" s="16">
        <f>J58*J59</f>
        <v>1573.3110312499998</v>
      </c>
      <c r="K60" s="6" t="s">
        <v>218</v>
      </c>
      <c r="L60" s="6"/>
      <c r="M60" s="6"/>
      <c r="N60" s="25" t="s">
        <v>19</v>
      </c>
      <c r="O60" s="6"/>
      <c r="P60" s="6"/>
      <c r="Q60" s="31"/>
      <c r="R60" s="6"/>
      <c r="S60" s="6"/>
      <c r="T60" s="6"/>
      <c r="U60" s="6"/>
      <c r="V60" s="6"/>
      <c r="W60" t="s">
        <v>190</v>
      </c>
      <c r="X60" s="6"/>
      <c r="Y60" s="6"/>
      <c r="Z60" s="6"/>
      <c r="AA60" s="6"/>
      <c r="AB60" s="116"/>
    </row>
    <row r="61" spans="2:28" ht="15">
      <c r="B61" s="2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5" t="s">
        <v>20</v>
      </c>
      <c r="O61" s="6" t="s">
        <v>21</v>
      </c>
      <c r="P61" s="6"/>
      <c r="Q61" s="31"/>
      <c r="R61" s="6"/>
      <c r="S61" s="6"/>
      <c r="X61" s="6"/>
      <c r="Y61" s="6"/>
      <c r="Z61" s="6"/>
      <c r="AB61" s="116"/>
    </row>
    <row r="62" spans="2:28" ht="15">
      <c r="B62" s="25"/>
      <c r="C62" s="6"/>
      <c r="D62" s="6"/>
      <c r="E62" s="6"/>
      <c r="F62" s="6"/>
      <c r="G62" s="6"/>
      <c r="H62" s="6"/>
      <c r="I62" s="175" t="s">
        <v>187</v>
      </c>
      <c r="J62" s="6"/>
      <c r="K62" s="6"/>
      <c r="L62" s="6"/>
      <c r="M62" s="6"/>
      <c r="N62" s="65" t="s">
        <v>10</v>
      </c>
      <c r="O62" s="14">
        <f>J60</f>
        <v>1573.3110312499998</v>
      </c>
      <c r="P62" s="6" t="s">
        <v>218</v>
      </c>
      <c r="Q62" s="31"/>
      <c r="R62" s="6"/>
      <c r="AB62" s="116"/>
    </row>
    <row r="63" spans="2:28" ht="15">
      <c r="B63" s="25"/>
      <c r="C63" s="6"/>
      <c r="D63" s="6"/>
      <c r="E63" s="6"/>
      <c r="F63" s="6"/>
      <c r="G63" s="6"/>
      <c r="H63" s="6"/>
      <c r="I63" s="175" t="s">
        <v>188</v>
      </c>
      <c r="J63" s="6"/>
      <c r="K63" s="6"/>
      <c r="L63" s="6"/>
      <c r="M63" s="6"/>
      <c r="N63" s="65" t="s">
        <v>23</v>
      </c>
      <c r="O63" s="14">
        <f>O45</f>
        <v>6624.467500000001</v>
      </c>
      <c r="P63" s="6" t="s">
        <v>214</v>
      </c>
      <c r="Q63" s="31"/>
      <c r="R63" s="6"/>
      <c r="AB63" s="116"/>
    </row>
    <row r="64" spans="2:28" ht="15">
      <c r="B64" s="25"/>
      <c r="C64" s="6"/>
      <c r="D64" s="6"/>
      <c r="E64" s="6"/>
      <c r="F64" s="6"/>
      <c r="G64" s="6"/>
      <c r="H64" s="6"/>
      <c r="I64" s="19" t="s">
        <v>227</v>
      </c>
      <c r="J64" s="6"/>
      <c r="K64" s="6"/>
      <c r="L64" s="6"/>
      <c r="M64" s="6"/>
      <c r="N64" s="65" t="s">
        <v>20</v>
      </c>
      <c r="O64" s="16">
        <f>O62+O63</f>
        <v>8197.77853125</v>
      </c>
      <c r="P64" s="6" t="s">
        <v>214</v>
      </c>
      <c r="Q64" s="31"/>
      <c r="R64" s="6"/>
      <c r="S64" s="6"/>
      <c r="X64" s="6"/>
      <c r="Y64" s="6"/>
      <c r="Z64" s="178" t="s">
        <v>0</v>
      </c>
      <c r="AB64" s="116"/>
    </row>
    <row r="65" spans="2:28" ht="15.75" thickBot="1">
      <c r="B65" s="25"/>
      <c r="C65" s="6"/>
      <c r="D65" s="6"/>
      <c r="E65" s="6"/>
      <c r="F65" s="6"/>
      <c r="G65" s="6"/>
      <c r="H65" s="6"/>
      <c r="I65" s="11" t="s">
        <v>17</v>
      </c>
      <c r="J65" s="6" t="s">
        <v>18</v>
      </c>
      <c r="K65" s="6"/>
      <c r="L65" s="6"/>
      <c r="M65" s="6"/>
      <c r="N65" s="28"/>
      <c r="O65" s="29"/>
      <c r="P65" s="29"/>
      <c r="Q65" s="32"/>
      <c r="R65" s="6"/>
      <c r="S65" s="6"/>
      <c r="X65" s="6"/>
      <c r="Y65" s="6"/>
      <c r="Z65" s="6" t="s">
        <v>0</v>
      </c>
      <c r="AB65" s="116"/>
    </row>
    <row r="66" spans="2:28" ht="15.75" thickTop="1">
      <c r="B66" s="25"/>
      <c r="C66" s="6"/>
      <c r="D66" s="6"/>
      <c r="E66" s="6"/>
      <c r="F66" s="6"/>
      <c r="G66" s="6"/>
      <c r="H66" s="6"/>
      <c r="I66" s="11" t="s">
        <v>10</v>
      </c>
      <c r="J66" s="24">
        <f>J60</f>
        <v>1573.3110312499998</v>
      </c>
      <c r="K66" s="6" t="s">
        <v>218</v>
      </c>
      <c r="L66" s="6"/>
      <c r="M66" s="6"/>
      <c r="R66" s="6"/>
      <c r="T66" s="6"/>
      <c r="U66" s="6"/>
      <c r="V66" s="6"/>
      <c r="W66" s="6"/>
      <c r="X66" s="6"/>
      <c r="Y66" s="6"/>
      <c r="Z66" s="6"/>
      <c r="AA66" s="6"/>
      <c r="AB66" s="116"/>
    </row>
    <row r="67" spans="2:28" ht="15">
      <c r="B67" s="25"/>
      <c r="C67" s="6"/>
      <c r="D67" s="6"/>
      <c r="E67" s="6"/>
      <c r="F67" s="6"/>
      <c r="G67" s="6"/>
      <c r="H67" s="6"/>
      <c r="I67" s="11" t="s">
        <v>15</v>
      </c>
      <c r="J67" s="11">
        <f>K18</f>
        <v>8</v>
      </c>
      <c r="K67" s="6"/>
      <c r="L67" s="6"/>
      <c r="M67" s="6"/>
      <c r="N67" s="11"/>
      <c r="O67" s="6"/>
      <c r="P67" s="6"/>
      <c r="Q67" s="6"/>
      <c r="R67" s="6"/>
      <c r="T67" s="6"/>
      <c r="U67" s="6"/>
      <c r="V67" s="6"/>
      <c r="W67" s="6"/>
      <c r="X67" s="6"/>
      <c r="Y67" s="6"/>
      <c r="Z67" s="6"/>
      <c r="AA67" s="6"/>
      <c r="AB67" s="116"/>
    </row>
    <row r="68" spans="2:28" ht="15">
      <c r="B68" s="25"/>
      <c r="C68" s="6"/>
      <c r="D68" s="6"/>
      <c r="E68" s="6"/>
      <c r="F68" s="6"/>
      <c r="G68" s="6"/>
      <c r="H68" s="6"/>
      <c r="I68" s="11" t="s">
        <v>17</v>
      </c>
      <c r="J68" s="16">
        <f>J66/J67</f>
        <v>196.66387890624998</v>
      </c>
      <c r="K68" s="6" t="s">
        <v>219</v>
      </c>
      <c r="L68" s="6"/>
      <c r="M68" s="6"/>
      <c r="N68" s="11"/>
      <c r="O68" s="6"/>
      <c r="P68" s="6"/>
      <c r="Q68" s="6"/>
      <c r="R68" s="6"/>
      <c r="T68" s="6"/>
      <c r="U68" s="6"/>
      <c r="V68" s="6"/>
      <c r="W68" s="6"/>
      <c r="X68" s="6"/>
      <c r="Y68" s="6"/>
      <c r="Z68" s="6"/>
      <c r="AA68" s="6"/>
      <c r="AB68" s="116"/>
    </row>
    <row r="69" spans="2:28" ht="15">
      <c r="B69" s="2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116"/>
    </row>
    <row r="70" spans="2:28" ht="15">
      <c r="B70" s="2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116"/>
    </row>
    <row r="71" spans="2:28" ht="15">
      <c r="B71" s="25"/>
      <c r="C71" s="6"/>
      <c r="D71" s="6"/>
      <c r="E71" s="6"/>
      <c r="F71" s="6"/>
      <c r="G71" s="6"/>
      <c r="H71" s="6"/>
      <c r="I71" s="6"/>
      <c r="J71" s="6" t="s">
        <v>0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116"/>
    </row>
    <row r="72" spans="2:28" ht="15">
      <c r="B72" s="2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116"/>
    </row>
    <row r="73" spans="2:28" ht="15.75" thickBot="1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117"/>
    </row>
    <row r="74" ht="15.75" thickTop="1"/>
    <row r="76" ht="15.75" thickBot="1"/>
    <row r="77" spans="2:28" ht="15.75" thickTop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115">
        <v>3</v>
      </c>
    </row>
    <row r="78" spans="2:32" ht="15">
      <c r="B78" s="25"/>
      <c r="C78" s="145" t="s">
        <v>236</v>
      </c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6"/>
      <c r="T78" s="6"/>
      <c r="U78" s="6" t="s">
        <v>220</v>
      </c>
      <c r="V78" s="6"/>
      <c r="W78" s="6"/>
      <c r="X78" s="6"/>
      <c r="Y78" s="6"/>
      <c r="Z78" s="6"/>
      <c r="AA78" s="6"/>
      <c r="AB78" s="116"/>
      <c r="AC78" s="6"/>
      <c r="AD78" s="6"/>
      <c r="AE78" s="6"/>
      <c r="AF78" s="6"/>
    </row>
    <row r="79" spans="2:28" ht="15.75" thickBot="1">
      <c r="B79" s="2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O79" s="6" t="s">
        <v>66</v>
      </c>
      <c r="P79" s="170">
        <f>K105</f>
        <v>8001.11465234375</v>
      </c>
      <c r="Q79" s="7"/>
      <c r="R79" s="6"/>
      <c r="S79" s="8">
        <f>H96</f>
        <v>393.3277578124999</v>
      </c>
      <c r="T79" s="6"/>
      <c r="U79" s="6"/>
      <c r="V79" s="6"/>
      <c r="W79" s="6"/>
      <c r="X79" s="6"/>
      <c r="Y79" s="6"/>
      <c r="AA79" s="6"/>
      <c r="AB79" s="116"/>
    </row>
    <row r="80" spans="2:28" ht="15.75" thickTop="1">
      <c r="B80" s="25"/>
      <c r="C80" s="174" t="s">
        <v>162</v>
      </c>
      <c r="D80" s="27"/>
      <c r="E80" s="27"/>
      <c r="F80" s="27"/>
      <c r="G80" s="27"/>
      <c r="H80" s="27"/>
      <c r="I80" s="27"/>
      <c r="J80" s="27"/>
      <c r="K80" s="27"/>
      <c r="L80" s="27"/>
      <c r="M80" s="30"/>
      <c r="O80" s="6"/>
      <c r="P80" s="9" t="s">
        <v>24</v>
      </c>
      <c r="Q80" s="10">
        <f>J68</f>
        <v>196.66387890624998</v>
      </c>
      <c r="R80" s="11"/>
      <c r="S80" s="11"/>
      <c r="T80" s="11"/>
      <c r="U80" s="11"/>
      <c r="V80" s="10">
        <f>J68</f>
        <v>196.66387890624998</v>
      </c>
      <c r="W80" s="6" t="s">
        <v>25</v>
      </c>
      <c r="X80" s="11"/>
      <c r="Y80" s="6"/>
      <c r="AA80" s="6"/>
      <c r="AB80" s="116"/>
    </row>
    <row r="81" spans="2:28" ht="15">
      <c r="B81" s="25"/>
      <c r="C81" s="25"/>
      <c r="D81" s="6"/>
      <c r="E81" s="6"/>
      <c r="F81" s="6"/>
      <c r="G81" s="6"/>
      <c r="H81" s="6"/>
      <c r="I81" s="6"/>
      <c r="J81" s="6" t="s">
        <v>232</v>
      </c>
      <c r="K81" s="6"/>
      <c r="L81" s="6"/>
      <c r="M81" s="31"/>
      <c r="O81" s="6"/>
      <c r="P81" s="9"/>
      <c r="Q81" s="11"/>
      <c r="R81" s="11"/>
      <c r="S81" s="11"/>
      <c r="T81" s="11"/>
      <c r="U81" s="11"/>
      <c r="V81" s="11"/>
      <c r="W81" s="6"/>
      <c r="X81" s="11"/>
      <c r="Y81" s="6"/>
      <c r="AA81" s="6"/>
      <c r="AB81" s="116"/>
    </row>
    <row r="82" spans="2:28" ht="15">
      <c r="B82" s="25"/>
      <c r="C82" s="25" t="s">
        <v>173</v>
      </c>
      <c r="D82" s="6"/>
      <c r="E82" s="6"/>
      <c r="F82" s="6"/>
      <c r="G82" s="6"/>
      <c r="H82" s="6"/>
      <c r="I82" s="6"/>
      <c r="J82" s="11" t="s">
        <v>59</v>
      </c>
      <c r="K82" s="6" t="s">
        <v>60</v>
      </c>
      <c r="L82" s="6"/>
      <c r="M82" s="31"/>
      <c r="O82" s="6"/>
      <c r="P82" s="12">
        <f>K99</f>
        <v>7607.78689453125</v>
      </c>
      <c r="Q82" s="11"/>
      <c r="R82" s="11"/>
      <c r="S82" s="11"/>
      <c r="T82" s="11"/>
      <c r="U82" s="11"/>
      <c r="V82" s="11"/>
      <c r="W82" s="6"/>
      <c r="X82" s="11"/>
      <c r="Y82" s="6"/>
      <c r="AA82" s="170"/>
      <c r="AB82" s="116"/>
    </row>
    <row r="83" spans="2:28" ht="15">
      <c r="B83" s="25"/>
      <c r="C83" s="25" t="s">
        <v>174</v>
      </c>
      <c r="D83" s="6"/>
      <c r="E83" s="6"/>
      <c r="F83" s="6"/>
      <c r="G83" s="6"/>
      <c r="H83" s="6"/>
      <c r="I83" s="6"/>
      <c r="J83" s="11" t="s">
        <v>52</v>
      </c>
      <c r="K83" s="10">
        <f>P54</f>
        <v>196.66387890624998</v>
      </c>
      <c r="L83" s="6"/>
      <c r="M83" s="31"/>
      <c r="O83" s="6"/>
      <c r="P83" s="9"/>
      <c r="Q83" s="11"/>
      <c r="R83" s="11"/>
      <c r="S83" s="11"/>
      <c r="T83" s="11"/>
      <c r="U83" s="11"/>
      <c r="V83" s="11"/>
      <c r="W83" s="15">
        <f>H90</f>
        <v>196.66387890624992</v>
      </c>
      <c r="X83" s="11"/>
      <c r="Y83" s="6"/>
      <c r="AA83" s="170"/>
      <c r="AB83" s="116"/>
    </row>
    <row r="84" spans="2:28" ht="15">
      <c r="B84" s="25"/>
      <c r="C84" s="184" t="s">
        <v>37</v>
      </c>
      <c r="D84" s="6"/>
      <c r="E84" s="6"/>
      <c r="F84" s="6"/>
      <c r="G84" s="6" t="s">
        <v>229</v>
      </c>
      <c r="H84" s="6"/>
      <c r="I84" s="6"/>
      <c r="J84" s="11" t="s">
        <v>43</v>
      </c>
      <c r="K84" s="11">
        <f>D100</f>
        <v>50</v>
      </c>
      <c r="L84" s="6"/>
      <c r="M84" s="31"/>
      <c r="O84" s="6"/>
      <c r="P84" s="9"/>
      <c r="Q84" s="11"/>
      <c r="R84" s="11"/>
      <c r="S84" s="11"/>
      <c r="T84" s="11"/>
      <c r="U84" s="11"/>
      <c r="V84" s="11"/>
      <c r="W84" s="6"/>
      <c r="X84" s="11"/>
      <c r="Y84" s="6"/>
      <c r="AA84" s="170"/>
      <c r="AB84" s="116"/>
    </row>
    <row r="85" spans="2:28" ht="15">
      <c r="B85" s="25"/>
      <c r="C85" s="65" t="s">
        <v>34</v>
      </c>
      <c r="D85" s="13" t="s">
        <v>35</v>
      </c>
      <c r="E85" s="6"/>
      <c r="F85" s="6"/>
      <c r="G85" s="6" t="s">
        <v>57</v>
      </c>
      <c r="H85" s="6"/>
      <c r="I85" s="6"/>
      <c r="J85" s="11" t="s">
        <v>38</v>
      </c>
      <c r="K85" s="10">
        <f>D97</f>
        <v>3410.5656894531253</v>
      </c>
      <c r="L85" s="6"/>
      <c r="M85" s="31"/>
      <c r="O85" s="6"/>
      <c r="P85" s="9" t="s">
        <v>26</v>
      </c>
      <c r="Q85" s="11"/>
      <c r="R85" s="17">
        <f>K86</f>
        <v>3657.229568359375</v>
      </c>
      <c r="S85" s="9" t="s">
        <v>27</v>
      </c>
      <c r="T85" s="6"/>
      <c r="U85" s="18">
        <f>D97</f>
        <v>3410.5656894531253</v>
      </c>
      <c r="V85" s="11"/>
      <c r="W85" s="6" t="s">
        <v>28</v>
      </c>
      <c r="X85" s="11"/>
      <c r="Y85" s="6"/>
      <c r="AA85" s="170"/>
      <c r="AB85" s="116"/>
    </row>
    <row r="86" spans="2:28" ht="15">
      <c r="B86" s="25"/>
      <c r="C86" s="65" t="s">
        <v>54</v>
      </c>
      <c r="D86" s="10">
        <f>P58</f>
        <v>6821.131378906251</v>
      </c>
      <c r="E86" s="6" t="s">
        <v>214</v>
      </c>
      <c r="F86" s="6"/>
      <c r="G86" s="11" t="s">
        <v>40</v>
      </c>
      <c r="H86" s="6" t="s">
        <v>58</v>
      </c>
      <c r="I86" s="6"/>
      <c r="J86" s="11" t="s">
        <v>59</v>
      </c>
      <c r="K86" s="16">
        <f>K83+K84+K85</f>
        <v>3657.229568359375</v>
      </c>
      <c r="L86" s="6" t="s">
        <v>214</v>
      </c>
      <c r="M86" s="31"/>
      <c r="O86" s="6"/>
      <c r="P86" s="9" t="s">
        <v>0</v>
      </c>
      <c r="Q86" s="10">
        <f>J68</f>
        <v>196.66387890624998</v>
      </c>
      <c r="R86" s="11"/>
      <c r="S86" s="11"/>
      <c r="T86" s="10">
        <f>J68</f>
        <v>196.66387890624998</v>
      </c>
      <c r="U86" s="11"/>
      <c r="V86" s="10">
        <f>J68</f>
        <v>196.66387890624998</v>
      </c>
      <c r="W86" s="6"/>
      <c r="X86" s="11"/>
      <c r="AA86" s="194"/>
      <c r="AB86" s="116"/>
    </row>
    <row r="87" spans="2:28" ht="15">
      <c r="B87" s="25"/>
      <c r="C87" s="65" t="s">
        <v>34</v>
      </c>
      <c r="D87" s="22">
        <f>D86/2</f>
        <v>3410.5656894531253</v>
      </c>
      <c r="E87" s="6" t="s">
        <v>214</v>
      </c>
      <c r="F87" s="6"/>
      <c r="G87" s="11" t="s">
        <v>53</v>
      </c>
      <c r="H87" s="10">
        <f>V86</f>
        <v>196.66387890624998</v>
      </c>
      <c r="I87" s="6"/>
      <c r="J87" s="6"/>
      <c r="K87" s="6"/>
      <c r="L87" s="6"/>
      <c r="M87" s="31"/>
      <c r="O87" s="6"/>
      <c r="P87" s="9"/>
      <c r="Q87" s="11"/>
      <c r="R87" s="11"/>
      <c r="S87" s="11"/>
      <c r="T87" s="11"/>
      <c r="U87" s="11"/>
      <c r="V87" s="11"/>
      <c r="W87" s="6"/>
      <c r="X87" s="11"/>
      <c r="Y87" s="6"/>
      <c r="AA87" s="170"/>
      <c r="AB87" s="116"/>
    </row>
    <row r="88" spans="2:28" ht="15">
      <c r="B88" s="25"/>
      <c r="C88" s="25"/>
      <c r="D88" s="6"/>
      <c r="E88" s="6"/>
      <c r="F88" s="6"/>
      <c r="G88" s="11" t="s">
        <v>36</v>
      </c>
      <c r="H88" s="10">
        <f>D93</f>
        <v>3410.5656894531253</v>
      </c>
      <c r="I88" s="6"/>
      <c r="J88" s="175" t="s">
        <v>233</v>
      </c>
      <c r="M88" s="31"/>
      <c r="O88" s="6"/>
      <c r="P88" s="12">
        <f>K92</f>
        <v>3753.893447265625</v>
      </c>
      <c r="Q88" s="11"/>
      <c r="R88" s="11"/>
      <c r="S88" s="11"/>
      <c r="T88" s="20">
        <f>D100</f>
        <v>50</v>
      </c>
      <c r="U88" s="11"/>
      <c r="V88" s="11"/>
      <c r="W88" s="6"/>
      <c r="X88" s="11"/>
      <c r="AA88" s="194"/>
      <c r="AB88" s="116"/>
    </row>
    <row r="89" spans="2:28" ht="15">
      <c r="B89" s="25"/>
      <c r="C89" s="180" t="s">
        <v>237</v>
      </c>
      <c r="D89" s="6"/>
      <c r="E89" s="6"/>
      <c r="F89" s="6"/>
      <c r="G89" s="11" t="s">
        <v>38</v>
      </c>
      <c r="H89" s="10">
        <f>D97</f>
        <v>3410.5656894531253</v>
      </c>
      <c r="I89" s="6"/>
      <c r="J89" s="11" t="s">
        <v>45</v>
      </c>
      <c r="K89" s="6" t="s">
        <v>46</v>
      </c>
      <c r="L89" s="6"/>
      <c r="M89" s="31"/>
      <c r="O89" s="6"/>
      <c r="P89" s="9"/>
      <c r="Q89" s="11"/>
      <c r="R89" s="11"/>
      <c r="S89" s="11"/>
      <c r="T89" s="11"/>
      <c r="U89" s="11"/>
      <c r="V89" s="11"/>
      <c r="W89" s="15">
        <f>D93</f>
        <v>3410.5656894531253</v>
      </c>
      <c r="AB89" s="116"/>
    </row>
    <row r="90" spans="2:28" ht="15">
      <c r="B90" s="25"/>
      <c r="C90" s="65" t="s">
        <v>36</v>
      </c>
      <c r="D90" s="6" t="s">
        <v>56</v>
      </c>
      <c r="E90" s="6"/>
      <c r="F90" s="6"/>
      <c r="G90" s="11" t="s">
        <v>40</v>
      </c>
      <c r="H90" s="22">
        <f>H87+H88-H89</f>
        <v>196.66387890624992</v>
      </c>
      <c r="I90" s="6" t="s">
        <v>214</v>
      </c>
      <c r="J90" s="11" t="s">
        <v>47</v>
      </c>
      <c r="K90" s="10">
        <f>P56</f>
        <v>196.66387890624998</v>
      </c>
      <c r="L90" s="6"/>
      <c r="M90" s="31"/>
      <c r="O90" s="6"/>
      <c r="P90" s="9"/>
      <c r="Q90" s="11"/>
      <c r="R90" s="11"/>
      <c r="S90" s="11"/>
      <c r="T90" s="11"/>
      <c r="U90" s="11"/>
      <c r="V90" s="11"/>
      <c r="W90" s="6"/>
      <c r="AB90" s="116"/>
    </row>
    <row r="91" spans="2:28" ht="15">
      <c r="B91" s="25"/>
      <c r="C91" s="65" t="s">
        <v>54</v>
      </c>
      <c r="D91" s="10">
        <f>P58</f>
        <v>6821.131378906251</v>
      </c>
      <c r="E91" s="6"/>
      <c r="F91" s="6"/>
      <c r="G91" s="6"/>
      <c r="H91" s="6"/>
      <c r="I91" s="6"/>
      <c r="J91" s="11" t="s">
        <v>48</v>
      </c>
      <c r="K91" s="10">
        <f>H104</f>
        <v>3557.229568359375</v>
      </c>
      <c r="L91" s="6"/>
      <c r="M91" s="31"/>
      <c r="O91" s="6"/>
      <c r="P91" s="6"/>
      <c r="Q91" s="11"/>
      <c r="R91" s="11"/>
      <c r="S91" s="11"/>
      <c r="T91" s="11"/>
      <c r="U91" s="11"/>
      <c r="V91" s="11"/>
      <c r="W91" s="6"/>
      <c r="AB91" s="116"/>
    </row>
    <row r="92" spans="2:28" ht="15">
      <c r="B92" s="25"/>
      <c r="C92" s="65" t="s">
        <v>34</v>
      </c>
      <c r="D92" s="10">
        <f>D87</f>
        <v>3410.5656894531253</v>
      </c>
      <c r="E92" s="6"/>
      <c r="F92" s="6"/>
      <c r="G92" s="175" t="s">
        <v>230</v>
      </c>
      <c r="J92" s="11" t="s">
        <v>45</v>
      </c>
      <c r="K92" s="16">
        <f>K90+K91</f>
        <v>3753.893447265625</v>
      </c>
      <c r="L92" s="6" t="s">
        <v>214</v>
      </c>
      <c r="M92" s="31"/>
      <c r="O92" s="6" t="s">
        <v>67</v>
      </c>
      <c r="P92" s="9" t="s">
        <v>29</v>
      </c>
      <c r="Q92" s="10">
        <f>J68</f>
        <v>196.66387890624998</v>
      </c>
      <c r="R92" s="11"/>
      <c r="S92" s="9" t="s">
        <v>30</v>
      </c>
      <c r="T92" s="10">
        <f>J68</f>
        <v>196.66387890624998</v>
      </c>
      <c r="U92" s="11"/>
      <c r="V92" s="10">
        <f>J68+O45</f>
        <v>6821.131378906251</v>
      </c>
      <c r="W92" s="6" t="s">
        <v>31</v>
      </c>
      <c r="AB92" s="116"/>
    </row>
    <row r="93" spans="2:28" ht="15">
      <c r="B93" s="25"/>
      <c r="C93" s="65" t="s">
        <v>36</v>
      </c>
      <c r="D93" s="22">
        <f>D91-D92</f>
        <v>3410.5656894531253</v>
      </c>
      <c r="E93" s="6" t="s">
        <v>214</v>
      </c>
      <c r="F93" s="6"/>
      <c r="G93" s="11" t="s">
        <v>228</v>
      </c>
      <c r="H93" s="6" t="s">
        <v>41</v>
      </c>
      <c r="I93" s="6"/>
      <c r="M93" s="31"/>
      <c r="O93" s="6"/>
      <c r="P93" s="6"/>
      <c r="Q93" s="6"/>
      <c r="R93" s="8">
        <f>H104</f>
        <v>3557.229568359375</v>
      </c>
      <c r="S93" s="6"/>
      <c r="T93" s="6"/>
      <c r="U93" s="21">
        <f>D87</f>
        <v>3410.5656894531253</v>
      </c>
      <c r="V93" s="6"/>
      <c r="W93" s="6"/>
      <c r="AB93" s="116"/>
    </row>
    <row r="94" spans="2:28" ht="15">
      <c r="B94" s="25"/>
      <c r="C94" s="25"/>
      <c r="D94" s="6"/>
      <c r="E94" s="6"/>
      <c r="F94" s="6"/>
      <c r="G94" s="11" t="s">
        <v>42</v>
      </c>
      <c r="H94" s="10">
        <f>V80</f>
        <v>196.66387890624998</v>
      </c>
      <c r="I94" s="6"/>
      <c r="J94" s="175" t="s">
        <v>234</v>
      </c>
      <c r="K94" s="6"/>
      <c r="L94" s="6"/>
      <c r="M94" s="31"/>
      <c r="O94" s="6"/>
      <c r="P94" s="6"/>
      <c r="Q94" s="6"/>
      <c r="R94" s="6"/>
      <c r="S94" s="6"/>
      <c r="T94" s="6"/>
      <c r="U94" s="6"/>
      <c r="V94" s="6"/>
      <c r="W94" s="6"/>
      <c r="AB94" s="116"/>
    </row>
    <row r="95" spans="2:28" ht="15">
      <c r="B95" s="25"/>
      <c r="C95" s="131" t="s">
        <v>37</v>
      </c>
      <c r="D95" s="6"/>
      <c r="E95" s="6"/>
      <c r="F95" s="6"/>
      <c r="G95" s="11" t="s">
        <v>40</v>
      </c>
      <c r="H95" s="10">
        <f>H90</f>
        <v>196.66387890624992</v>
      </c>
      <c r="I95" s="6"/>
      <c r="J95" s="11" t="s">
        <v>64</v>
      </c>
      <c r="K95" s="19" t="s">
        <v>65</v>
      </c>
      <c r="L95" s="6"/>
      <c r="M95" s="31"/>
      <c r="O95" s="6"/>
      <c r="P95" s="6"/>
      <c r="Q95" s="6"/>
      <c r="R95" s="6" t="s">
        <v>194</v>
      </c>
      <c r="S95" s="6"/>
      <c r="T95" s="6"/>
      <c r="U95" s="6"/>
      <c r="V95" s="6"/>
      <c r="W95" s="6"/>
      <c r="AB95" s="116"/>
    </row>
    <row r="96" spans="2:28" ht="15">
      <c r="B96" s="25"/>
      <c r="C96" s="65" t="s">
        <v>38</v>
      </c>
      <c r="D96" s="13" t="s">
        <v>39</v>
      </c>
      <c r="E96" s="6"/>
      <c r="F96" s="6"/>
      <c r="G96" s="11" t="s">
        <v>228</v>
      </c>
      <c r="H96" s="16">
        <f>H94+H95</f>
        <v>393.3277578124999</v>
      </c>
      <c r="I96" s="6" t="s">
        <v>214</v>
      </c>
      <c r="J96" s="11" t="s">
        <v>51</v>
      </c>
      <c r="K96" s="10">
        <f>P53</f>
        <v>196.66387890624998</v>
      </c>
      <c r="L96" s="6"/>
      <c r="M96" s="31"/>
      <c r="Z96" s="6"/>
      <c r="AA96" s="6"/>
      <c r="AB96" s="116"/>
    </row>
    <row r="97" spans="2:28" ht="15">
      <c r="B97" s="25"/>
      <c r="C97" s="65" t="s">
        <v>38</v>
      </c>
      <c r="D97" s="22">
        <f>D93</f>
        <v>3410.5656894531253</v>
      </c>
      <c r="E97" s="6" t="s">
        <v>214</v>
      </c>
      <c r="F97" s="6"/>
      <c r="G97" s="6"/>
      <c r="H97" s="6"/>
      <c r="I97" s="11"/>
      <c r="J97" s="11" t="s">
        <v>45</v>
      </c>
      <c r="K97" s="14">
        <f>K92</f>
        <v>3753.893447265625</v>
      </c>
      <c r="L97" s="6"/>
      <c r="M97" s="31"/>
      <c r="Z97" s="6"/>
      <c r="AA97" s="6"/>
      <c r="AB97" s="116"/>
    </row>
    <row r="98" spans="2:28" ht="15">
      <c r="B98" s="25"/>
      <c r="C98" s="25"/>
      <c r="D98" s="6"/>
      <c r="E98" s="6"/>
      <c r="F98" s="6"/>
      <c r="G98" s="48" t="s">
        <v>231</v>
      </c>
      <c r="J98" s="11" t="s">
        <v>59</v>
      </c>
      <c r="K98" s="14">
        <f>K86</f>
        <v>3657.229568359375</v>
      </c>
      <c r="L98" s="6"/>
      <c r="M98" s="31"/>
      <c r="Z98" s="6"/>
      <c r="AA98" s="6"/>
      <c r="AB98" s="116"/>
    </row>
    <row r="99" spans="2:28" ht="15">
      <c r="B99" s="25"/>
      <c r="C99" s="131" t="s">
        <v>37</v>
      </c>
      <c r="D99" s="6"/>
      <c r="E99" s="6"/>
      <c r="F99" s="6"/>
      <c r="G99" s="19" t="s">
        <v>61</v>
      </c>
      <c r="H99" s="6"/>
      <c r="I99" s="6"/>
      <c r="J99" s="11" t="s">
        <v>64</v>
      </c>
      <c r="K99" s="16">
        <f>K96+K97+K98</f>
        <v>7607.78689453125</v>
      </c>
      <c r="L99" s="6" t="s">
        <v>214</v>
      </c>
      <c r="M99" s="31"/>
      <c r="Q99" s="6"/>
      <c r="R99" s="6"/>
      <c r="S99" s="6"/>
      <c r="T99" s="6"/>
      <c r="U99" s="6"/>
      <c r="V99" s="6"/>
      <c r="Z99" s="6"/>
      <c r="AA99" s="6"/>
      <c r="AB99" s="116"/>
    </row>
    <row r="100" spans="2:28" ht="15">
      <c r="B100" s="25"/>
      <c r="C100" s="65" t="s">
        <v>43</v>
      </c>
      <c r="D100" s="13">
        <v>50</v>
      </c>
      <c r="E100" s="6" t="s">
        <v>214</v>
      </c>
      <c r="F100" s="6"/>
      <c r="G100" s="23" t="s">
        <v>62</v>
      </c>
      <c r="H100" s="6" t="s">
        <v>63</v>
      </c>
      <c r="I100" s="6"/>
      <c r="M100" s="31"/>
      <c r="N100" s="6"/>
      <c r="O100" s="6"/>
      <c r="P100" s="6"/>
      <c r="Q100" s="6"/>
      <c r="R100" s="6"/>
      <c r="S100" s="6"/>
      <c r="T100" s="6"/>
      <c r="U100" s="6"/>
      <c r="V100" s="6"/>
      <c r="Z100" s="6"/>
      <c r="AA100" s="6"/>
      <c r="AB100" s="116"/>
    </row>
    <row r="101" spans="2:28" ht="15">
      <c r="B101" s="25"/>
      <c r="C101" s="25"/>
      <c r="D101" s="6"/>
      <c r="E101" s="6"/>
      <c r="F101" s="6"/>
      <c r="G101" s="11" t="s">
        <v>49</v>
      </c>
      <c r="H101" s="10">
        <f>T92</f>
        <v>196.66387890624998</v>
      </c>
      <c r="I101" s="6"/>
      <c r="J101" s="175" t="s">
        <v>235</v>
      </c>
      <c r="K101" s="6"/>
      <c r="L101" s="6"/>
      <c r="M101" s="31"/>
      <c r="P101" s="6"/>
      <c r="Q101" s="6"/>
      <c r="R101" s="6"/>
      <c r="S101" s="6"/>
      <c r="T101" s="6"/>
      <c r="U101" s="6"/>
      <c r="V101" s="6"/>
      <c r="Z101" s="6"/>
      <c r="AA101" s="6"/>
      <c r="AB101" s="116"/>
    </row>
    <row r="102" spans="2:28" ht="15">
      <c r="B102" s="25"/>
      <c r="C102" s="65" t="s">
        <v>23</v>
      </c>
      <c r="D102" s="10">
        <f>O45</f>
        <v>6624.467500000001</v>
      </c>
      <c r="E102" s="6" t="s">
        <v>214</v>
      </c>
      <c r="F102" s="6"/>
      <c r="G102" s="11" t="s">
        <v>34</v>
      </c>
      <c r="H102" s="10">
        <f>D87</f>
        <v>3410.5656894531253</v>
      </c>
      <c r="I102" s="6"/>
      <c r="J102" s="48" t="s">
        <v>88</v>
      </c>
      <c r="K102" s="47" t="s">
        <v>89</v>
      </c>
      <c r="L102" s="6"/>
      <c r="M102" s="31"/>
      <c r="P102" s="6"/>
      <c r="Q102" s="6"/>
      <c r="R102" s="6"/>
      <c r="S102" s="6"/>
      <c r="T102" s="6"/>
      <c r="U102" s="6"/>
      <c r="V102" s="6"/>
      <c r="Z102" s="6"/>
      <c r="AA102" s="6"/>
      <c r="AB102" s="116"/>
    </row>
    <row r="103" spans="2:28" ht="15">
      <c r="B103" s="25"/>
      <c r="C103" s="25"/>
      <c r="D103" s="6"/>
      <c r="E103" s="6"/>
      <c r="F103" s="6"/>
      <c r="G103" s="11" t="s">
        <v>43</v>
      </c>
      <c r="H103" s="11">
        <f>D100</f>
        <v>50</v>
      </c>
      <c r="I103" s="6"/>
      <c r="J103" s="11" t="s">
        <v>90</v>
      </c>
      <c r="K103" s="14">
        <f>P82</f>
        <v>7607.78689453125</v>
      </c>
      <c r="L103" s="6"/>
      <c r="M103" s="31"/>
      <c r="P103" s="6"/>
      <c r="Q103" s="6"/>
      <c r="R103" s="6"/>
      <c r="S103" s="6"/>
      <c r="T103" s="6"/>
      <c r="U103" s="6"/>
      <c r="V103" s="6"/>
      <c r="Z103" s="6"/>
      <c r="AA103" s="6"/>
      <c r="AB103" s="116"/>
    </row>
    <row r="104" spans="2:28" ht="15">
      <c r="B104" s="25"/>
      <c r="C104" s="25"/>
      <c r="D104" s="6"/>
      <c r="E104" s="6"/>
      <c r="F104" s="6"/>
      <c r="G104" s="11" t="s">
        <v>44</v>
      </c>
      <c r="H104" s="16">
        <f>H101+H102-H103</f>
        <v>3557.229568359375</v>
      </c>
      <c r="I104" s="6" t="s">
        <v>214</v>
      </c>
      <c r="J104" s="11" t="s">
        <v>91</v>
      </c>
      <c r="K104" s="14">
        <f>S79</f>
        <v>393.3277578124999</v>
      </c>
      <c r="L104" s="6"/>
      <c r="M104" s="31"/>
      <c r="P104" s="6"/>
      <c r="Q104" s="6"/>
      <c r="R104" s="6"/>
      <c r="S104" s="6"/>
      <c r="T104" s="6"/>
      <c r="U104" s="6"/>
      <c r="V104" s="6"/>
      <c r="Z104" s="6"/>
      <c r="AA104" s="6"/>
      <c r="AB104" s="116"/>
    </row>
    <row r="105" spans="2:28" ht="15">
      <c r="B105" s="25"/>
      <c r="C105" s="25"/>
      <c r="D105" s="6"/>
      <c r="E105" s="6"/>
      <c r="F105" s="6"/>
      <c r="G105" s="6"/>
      <c r="H105" s="6"/>
      <c r="I105" s="6"/>
      <c r="J105" s="11" t="s">
        <v>88</v>
      </c>
      <c r="K105" s="16">
        <f>K103+K104</f>
        <v>8001.11465234375</v>
      </c>
      <c r="L105" s="6" t="s">
        <v>214</v>
      </c>
      <c r="M105" s="31"/>
      <c r="P105" s="6"/>
      <c r="Q105" s="6"/>
      <c r="R105" s="6"/>
      <c r="S105" s="6"/>
      <c r="T105" s="6"/>
      <c r="U105" s="6"/>
      <c r="V105" s="6"/>
      <c r="Z105" s="6"/>
      <c r="AA105" s="6"/>
      <c r="AB105" s="116"/>
    </row>
    <row r="106" spans="2:28" ht="15">
      <c r="B106" s="25"/>
      <c r="C106" s="25"/>
      <c r="D106" s="6"/>
      <c r="E106" s="6"/>
      <c r="F106" s="6"/>
      <c r="G106" s="6"/>
      <c r="H106" s="6"/>
      <c r="I106" s="6"/>
      <c r="J106" s="11" t="s">
        <v>88</v>
      </c>
      <c r="K106" s="193">
        <f>K105/(1000*60)</f>
        <v>0.13335191087239584</v>
      </c>
      <c r="L106" s="6" t="s">
        <v>223</v>
      </c>
      <c r="M106" s="31"/>
      <c r="P106" s="6"/>
      <c r="Q106" s="6"/>
      <c r="R106" s="6"/>
      <c r="S106" s="6"/>
      <c r="T106" s="6"/>
      <c r="U106" s="6"/>
      <c r="V106" s="6"/>
      <c r="Z106" s="6"/>
      <c r="AA106" s="6"/>
      <c r="AB106" s="116"/>
    </row>
    <row r="107" spans="2:28" ht="15.75" thickBot="1">
      <c r="B107" s="25"/>
      <c r="C107" s="28"/>
      <c r="D107" s="29"/>
      <c r="E107" s="29"/>
      <c r="F107" s="29"/>
      <c r="G107" s="29"/>
      <c r="H107" s="29"/>
      <c r="I107" s="29"/>
      <c r="J107" s="29"/>
      <c r="K107" s="29"/>
      <c r="L107" s="29"/>
      <c r="M107" s="32"/>
      <c r="P107" s="6"/>
      <c r="Q107" s="6"/>
      <c r="R107" s="6"/>
      <c r="S107" s="6"/>
      <c r="T107" s="6"/>
      <c r="U107" s="6"/>
      <c r="V107" s="6"/>
      <c r="Z107" s="6"/>
      <c r="AA107" s="6"/>
      <c r="AB107" s="116"/>
    </row>
    <row r="108" spans="2:28" ht="15.75" thickTop="1">
      <c r="B108" s="25"/>
      <c r="C108" s="6"/>
      <c r="L108" s="6"/>
      <c r="M108" s="6"/>
      <c r="P108" s="6"/>
      <c r="Q108" s="6"/>
      <c r="R108" s="6"/>
      <c r="S108" s="6"/>
      <c r="T108" s="6"/>
      <c r="U108" s="6"/>
      <c r="V108" s="6"/>
      <c r="Z108" s="6"/>
      <c r="AA108" s="6"/>
      <c r="AB108" s="116"/>
    </row>
    <row r="109" spans="2:28" ht="15">
      <c r="B109" s="25"/>
      <c r="C109" s="6"/>
      <c r="L109" s="6"/>
      <c r="M109" s="6"/>
      <c r="P109" s="6"/>
      <c r="Q109" s="6"/>
      <c r="R109" s="6"/>
      <c r="S109" s="6"/>
      <c r="T109" s="6"/>
      <c r="U109" s="6"/>
      <c r="V109" s="6"/>
      <c r="Z109" s="6"/>
      <c r="AA109" s="6"/>
      <c r="AB109" s="116"/>
    </row>
    <row r="110" spans="2:28" ht="15">
      <c r="B110" s="2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116"/>
    </row>
    <row r="111" spans="2:28" ht="15.75" thickBot="1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117"/>
    </row>
    <row r="112" ht="15.75" thickTop="1"/>
    <row r="114" ht="15.75" thickBot="1"/>
    <row r="115" spans="2:28" ht="21.75" thickTop="1">
      <c r="B115" s="26"/>
      <c r="C115" s="27"/>
      <c r="D115" s="27"/>
      <c r="E115" s="27"/>
      <c r="F115" s="27"/>
      <c r="G115" s="277"/>
      <c r="H115" s="27"/>
      <c r="I115" s="27"/>
      <c r="J115" s="27"/>
      <c r="K115" s="27"/>
      <c r="L115" s="27"/>
      <c r="M115" s="27"/>
      <c r="N115" s="27"/>
      <c r="O115" s="27" t="s">
        <v>0</v>
      </c>
      <c r="P115" s="27"/>
      <c r="Q115" s="27"/>
      <c r="R115" s="27"/>
      <c r="S115" s="27"/>
      <c r="T115" s="27"/>
      <c r="U115" s="27"/>
      <c r="V115" s="27"/>
      <c r="W115" s="27" t="s">
        <v>275</v>
      </c>
      <c r="X115" s="27"/>
      <c r="Y115" s="27"/>
      <c r="Z115" s="27"/>
      <c r="AA115" s="27"/>
      <c r="AB115" s="115">
        <v>4</v>
      </c>
    </row>
    <row r="116" spans="2:28" ht="15">
      <c r="B116" s="25"/>
      <c r="C116" s="145" t="s">
        <v>195</v>
      </c>
      <c r="D116" s="6"/>
      <c r="E116" s="6"/>
      <c r="F116" s="6"/>
      <c r="G116" s="6"/>
      <c r="H116" s="145" t="s">
        <v>197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116"/>
    </row>
    <row r="117" spans="2:28" ht="17.25">
      <c r="B117" s="25"/>
      <c r="C117" s="6" t="s">
        <v>288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 t="s">
        <v>66</v>
      </c>
      <c r="S117" s="170">
        <f>U105</f>
        <v>0</v>
      </c>
      <c r="T117" s="7"/>
      <c r="U117" s="6"/>
      <c r="V117" s="208">
        <f>N127</f>
        <v>0.0065554626302083314</v>
      </c>
      <c r="W117" s="6"/>
      <c r="X117" s="6"/>
      <c r="Y117" s="6"/>
      <c r="Z117" s="6"/>
      <c r="AA117" s="6"/>
      <c r="AB117" s="116"/>
    </row>
    <row r="118" spans="2:28" ht="15">
      <c r="B118" s="65"/>
      <c r="C118" s="6"/>
      <c r="D118" s="6"/>
      <c r="E118" s="6"/>
      <c r="F118" s="6"/>
      <c r="G118" s="6"/>
      <c r="H118" s="6"/>
      <c r="I118" s="50" t="s">
        <v>97</v>
      </c>
      <c r="J118" s="51"/>
      <c r="K118" s="51"/>
      <c r="L118" s="51"/>
      <c r="M118" s="51"/>
      <c r="N118" s="51"/>
      <c r="O118" s="54"/>
      <c r="P118" s="6"/>
      <c r="Q118" s="6"/>
      <c r="R118" s="6"/>
      <c r="S118" s="9" t="s">
        <v>24</v>
      </c>
      <c r="T118" s="10">
        <f>Q80</f>
        <v>196.66387890624998</v>
      </c>
      <c r="U118" s="11"/>
      <c r="V118" s="11"/>
      <c r="W118" s="11"/>
      <c r="X118" s="11"/>
      <c r="Y118" s="10">
        <f>V80</f>
        <v>196.66387890624998</v>
      </c>
      <c r="Z118" s="6" t="s">
        <v>25</v>
      </c>
      <c r="AA118" s="6"/>
      <c r="AB118" s="116"/>
    </row>
    <row r="119" spans="2:28" ht="15">
      <c r="B119" s="65"/>
      <c r="C119" s="6"/>
      <c r="D119" s="6"/>
      <c r="E119" s="6"/>
      <c r="F119" s="6"/>
      <c r="G119" s="6"/>
      <c r="H119" s="6"/>
      <c r="I119" s="49" t="s">
        <v>98</v>
      </c>
      <c r="J119" s="6"/>
      <c r="K119" s="6"/>
      <c r="L119" s="6"/>
      <c r="M119" s="6"/>
      <c r="N119" s="6"/>
      <c r="O119" s="55"/>
      <c r="P119" s="6"/>
      <c r="Q119" s="6"/>
      <c r="R119" s="6"/>
      <c r="S119" s="9"/>
      <c r="T119" s="11"/>
      <c r="U119" s="11"/>
      <c r="V119" s="11"/>
      <c r="W119" s="11"/>
      <c r="X119" s="11"/>
      <c r="Y119" s="11"/>
      <c r="Z119" s="6"/>
      <c r="AA119" s="6"/>
      <c r="AB119" s="116"/>
    </row>
    <row r="120" spans="2:28" ht="17.25">
      <c r="B120" s="65"/>
      <c r="C120" s="6"/>
      <c r="D120" s="6"/>
      <c r="E120" s="6"/>
      <c r="F120" s="6"/>
      <c r="G120" s="6"/>
      <c r="H120" s="6"/>
      <c r="I120" s="33" t="s">
        <v>75</v>
      </c>
      <c r="J120" s="11" t="s">
        <v>221</v>
      </c>
      <c r="K120" s="11" t="s">
        <v>32</v>
      </c>
      <c r="L120" s="11" t="s">
        <v>212</v>
      </c>
      <c r="M120" s="11" t="s">
        <v>76</v>
      </c>
      <c r="N120" s="11" t="s">
        <v>254</v>
      </c>
      <c r="O120" s="39" t="s">
        <v>253</v>
      </c>
      <c r="P120" s="6"/>
      <c r="Q120" s="6"/>
      <c r="R120" s="6"/>
      <c r="S120" s="214">
        <f>N131</f>
        <v>-0.1267964482421875</v>
      </c>
      <c r="T120" s="11"/>
      <c r="U120" s="11"/>
      <c r="V120" s="11"/>
      <c r="W120" s="11"/>
      <c r="X120" s="11"/>
      <c r="Y120" s="11"/>
      <c r="Z120" s="6"/>
      <c r="AA120" s="6"/>
      <c r="AB120" s="116"/>
    </row>
    <row r="121" spans="2:28" ht="15">
      <c r="B121" s="65"/>
      <c r="C121" s="6"/>
      <c r="D121" s="6"/>
      <c r="E121" s="6"/>
      <c r="F121" s="6"/>
      <c r="G121" s="6"/>
      <c r="H121" s="6"/>
      <c r="I121" s="36" t="s">
        <v>87</v>
      </c>
      <c r="J121" s="197">
        <f>Q31</f>
        <v>0.2032</v>
      </c>
      <c r="K121" s="197">
        <f>R31</f>
        <v>130</v>
      </c>
      <c r="L121" s="197">
        <f>S31</f>
        <v>30.48</v>
      </c>
      <c r="M121" s="196" t="s">
        <v>0</v>
      </c>
      <c r="N121" s="201">
        <f>K106</f>
        <v>0.13335191087239584</v>
      </c>
      <c r="O121" s="195" t="s">
        <v>0</v>
      </c>
      <c r="P121" s="6"/>
      <c r="Q121" s="6"/>
      <c r="R121" s="6"/>
      <c r="S121" s="9"/>
      <c r="T121" s="11"/>
      <c r="U121" s="11"/>
      <c r="V121" s="11"/>
      <c r="W121" s="11"/>
      <c r="X121" s="11"/>
      <c r="Y121" s="11"/>
      <c r="Z121" s="209">
        <f>N128</f>
        <v>0.0032777313151041653</v>
      </c>
      <c r="AA121" s="6"/>
      <c r="AB121" s="116"/>
    </row>
    <row r="122" spans="2:28" ht="15">
      <c r="B122" s="6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 t="s">
        <v>99</v>
      </c>
      <c r="N122" s="6" t="s">
        <v>145</v>
      </c>
      <c r="O122" s="6"/>
      <c r="P122" s="6"/>
      <c r="Q122" s="6"/>
      <c r="R122" s="6"/>
      <c r="S122" s="9"/>
      <c r="T122" s="11"/>
      <c r="U122" s="11"/>
      <c r="V122" s="11"/>
      <c r="W122" s="11"/>
      <c r="X122" s="11"/>
      <c r="Y122" s="11"/>
      <c r="Z122" s="6"/>
      <c r="AA122" s="6"/>
      <c r="AB122" s="116"/>
    </row>
    <row r="123" spans="2:28" ht="16.5" thickBot="1">
      <c r="B123" s="65"/>
      <c r="C123" s="145" t="s">
        <v>167</v>
      </c>
      <c r="D123" s="6"/>
      <c r="E123" s="6"/>
      <c r="F123" s="6"/>
      <c r="G123" s="6"/>
      <c r="H123" s="145" t="s">
        <v>170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9" t="s">
        <v>26</v>
      </c>
      <c r="T123" s="11"/>
      <c r="U123" s="211">
        <f>N130</f>
        <v>-0.06095382613932292</v>
      </c>
      <c r="V123" s="9" t="s">
        <v>27</v>
      </c>
      <c r="W123" s="6"/>
      <c r="X123" s="211">
        <f>N129</f>
        <v>-0.05684276149088542</v>
      </c>
      <c r="Y123" s="11"/>
      <c r="Z123" s="6" t="s">
        <v>28</v>
      </c>
      <c r="AA123" s="6"/>
      <c r="AB123" s="116"/>
    </row>
    <row r="124" spans="2:28" ht="15.75" thickTop="1">
      <c r="B124" s="65"/>
      <c r="C124" s="58"/>
      <c r="D124" s="141" t="s">
        <v>0</v>
      </c>
      <c r="E124" s="59"/>
      <c r="F124" s="61"/>
      <c r="G124" s="6"/>
      <c r="H124" s="58"/>
      <c r="I124" s="141" t="s">
        <v>0</v>
      </c>
      <c r="J124" s="59"/>
      <c r="K124" s="59"/>
      <c r="L124" s="59"/>
      <c r="M124" s="59"/>
      <c r="N124" s="59"/>
      <c r="O124" s="59"/>
      <c r="P124" s="61"/>
      <c r="Q124" s="6"/>
      <c r="R124" s="6"/>
      <c r="S124" s="9" t="s">
        <v>0</v>
      </c>
      <c r="T124" s="10">
        <f>T68</f>
        <v>0</v>
      </c>
      <c r="U124" s="11"/>
      <c r="V124" s="11"/>
      <c r="W124" s="10">
        <f>T68</f>
        <v>0</v>
      </c>
      <c r="X124" s="11"/>
      <c r="Y124" s="10">
        <f>T68</f>
        <v>0</v>
      </c>
      <c r="Z124" s="6"/>
      <c r="AA124" s="6"/>
      <c r="AB124" s="116"/>
    </row>
    <row r="125" spans="2:28" ht="18">
      <c r="B125" s="65"/>
      <c r="C125" s="56"/>
      <c r="D125" s="11" t="s">
        <v>75</v>
      </c>
      <c r="E125" s="11" t="s">
        <v>289</v>
      </c>
      <c r="F125" s="62"/>
      <c r="G125" s="6"/>
      <c r="H125" s="56"/>
      <c r="I125" s="11" t="s">
        <v>75</v>
      </c>
      <c r="J125" s="11" t="s">
        <v>221</v>
      </c>
      <c r="K125" s="11" t="s">
        <v>32</v>
      </c>
      <c r="L125" s="11" t="s">
        <v>212</v>
      </c>
      <c r="M125" s="11" t="s">
        <v>76</v>
      </c>
      <c r="N125" s="11" t="s">
        <v>254</v>
      </c>
      <c r="O125" s="11" t="s">
        <v>253</v>
      </c>
      <c r="P125" s="62"/>
      <c r="Q125" s="6"/>
      <c r="R125" s="6"/>
      <c r="S125" s="9"/>
      <c r="T125" s="11"/>
      <c r="U125" s="11"/>
      <c r="V125" s="11"/>
      <c r="W125" s="11"/>
      <c r="X125" s="11"/>
      <c r="Y125" s="11"/>
      <c r="Z125" s="6"/>
      <c r="AA125" s="6"/>
      <c r="AB125" s="116"/>
    </row>
    <row r="126" spans="2:28" ht="15.75">
      <c r="B126" s="65"/>
      <c r="C126" s="57"/>
      <c r="D126" s="6"/>
      <c r="E126" s="6" t="s">
        <v>145</v>
      </c>
      <c r="F126" s="63"/>
      <c r="G126" s="6"/>
      <c r="H126" s="57"/>
      <c r="I126" s="6"/>
      <c r="J126" s="6"/>
      <c r="K126" s="6"/>
      <c r="L126" s="6"/>
      <c r="M126" s="6"/>
      <c r="N126" s="6" t="s">
        <v>145</v>
      </c>
      <c r="O126" s="6"/>
      <c r="P126" s="63"/>
      <c r="Q126" s="6"/>
      <c r="R126" s="6"/>
      <c r="S126" s="210">
        <f>P88</f>
        <v>3753.893447265625</v>
      </c>
      <c r="T126" s="11"/>
      <c r="U126" s="11"/>
      <c r="V126" s="11"/>
      <c r="W126" s="212">
        <f>T88</f>
        <v>50</v>
      </c>
      <c r="X126" s="11"/>
      <c r="Y126" s="11"/>
      <c r="Z126" s="6"/>
      <c r="AA126" s="6"/>
      <c r="AB126" s="116"/>
    </row>
    <row r="127" spans="2:28" ht="15">
      <c r="B127" s="65"/>
      <c r="C127" s="57"/>
      <c r="D127" s="105" t="s">
        <v>70</v>
      </c>
      <c r="E127" s="129">
        <f>S79/(1000*60)</f>
        <v>0.0065554626302083314</v>
      </c>
      <c r="F127" s="63"/>
      <c r="G127" s="6"/>
      <c r="H127" s="57"/>
      <c r="I127" s="43" t="s">
        <v>70</v>
      </c>
      <c r="J127" s="46">
        <f aca="true" t="shared" si="1" ref="J127:L131">Q15</f>
        <v>0.2032</v>
      </c>
      <c r="K127" s="46">
        <f t="shared" si="1"/>
        <v>130</v>
      </c>
      <c r="L127" s="46">
        <f t="shared" si="1"/>
        <v>457.20000000000005</v>
      </c>
      <c r="M127" s="43"/>
      <c r="N127" s="129">
        <f>E127</f>
        <v>0.0065554626302083314</v>
      </c>
      <c r="O127" s="43"/>
      <c r="P127" s="63"/>
      <c r="Q127" s="6"/>
      <c r="R127" s="6"/>
      <c r="S127" s="9"/>
      <c r="T127" s="11"/>
      <c r="U127" s="11"/>
      <c r="V127" s="11"/>
      <c r="W127" s="11"/>
      <c r="X127" s="11"/>
      <c r="Y127" s="11"/>
      <c r="Z127" s="15">
        <f>W89</f>
        <v>3410.5656894531253</v>
      </c>
      <c r="AA127" s="6"/>
      <c r="AB127" s="116"/>
    </row>
    <row r="128" spans="2:28" ht="15">
      <c r="B128" s="65"/>
      <c r="C128" s="57" t="s">
        <v>68</v>
      </c>
      <c r="D128" s="105" t="s">
        <v>71</v>
      </c>
      <c r="E128" s="129">
        <f>W83/(1000*60)</f>
        <v>0.0032777313151041653</v>
      </c>
      <c r="F128" s="63"/>
      <c r="G128" s="6"/>
      <c r="H128" s="57" t="s">
        <v>68</v>
      </c>
      <c r="I128" s="43" t="s">
        <v>71</v>
      </c>
      <c r="J128" s="46">
        <f t="shared" si="1"/>
        <v>0.2032</v>
      </c>
      <c r="K128" s="46">
        <f t="shared" si="1"/>
        <v>130</v>
      </c>
      <c r="L128" s="46">
        <f t="shared" si="1"/>
        <v>121.92</v>
      </c>
      <c r="M128" s="43"/>
      <c r="N128" s="129">
        <f>E128</f>
        <v>0.0032777313151041653</v>
      </c>
      <c r="O128" s="43"/>
      <c r="P128" s="63"/>
      <c r="Q128" s="6"/>
      <c r="R128" s="6"/>
      <c r="S128" s="9"/>
      <c r="T128" s="11"/>
      <c r="U128" s="11"/>
      <c r="V128" s="11"/>
      <c r="W128" s="11"/>
      <c r="X128" s="11"/>
      <c r="Y128" s="11"/>
      <c r="Z128" s="6"/>
      <c r="AA128" s="6"/>
      <c r="AB128" s="116"/>
    </row>
    <row r="129" spans="2:28" ht="15">
      <c r="B129" s="65"/>
      <c r="C129" s="57" t="s">
        <v>69</v>
      </c>
      <c r="D129" s="105" t="s">
        <v>72</v>
      </c>
      <c r="E129" s="129">
        <f>U85/(1000*60)</f>
        <v>0.05684276149088542</v>
      </c>
      <c r="F129" s="63"/>
      <c r="G129" s="6"/>
      <c r="H129" s="57" t="s">
        <v>69</v>
      </c>
      <c r="I129" s="43" t="s">
        <v>72</v>
      </c>
      <c r="J129" s="46">
        <f t="shared" si="1"/>
        <v>0.2032</v>
      </c>
      <c r="K129" s="46">
        <f t="shared" si="1"/>
        <v>130</v>
      </c>
      <c r="L129" s="46">
        <f t="shared" si="1"/>
        <v>228.60000000000002</v>
      </c>
      <c r="M129" s="43"/>
      <c r="N129" s="129">
        <f>-E129</f>
        <v>-0.05684276149088542</v>
      </c>
      <c r="O129" s="43"/>
      <c r="P129" s="63"/>
      <c r="Q129" s="6"/>
      <c r="R129" s="6"/>
      <c r="S129" s="6"/>
      <c r="T129" s="11"/>
      <c r="U129" s="11"/>
      <c r="V129" s="11"/>
      <c r="W129" s="11"/>
      <c r="X129" s="11"/>
      <c r="Y129" s="11"/>
      <c r="Z129" s="6"/>
      <c r="AA129" s="6"/>
      <c r="AB129" s="116"/>
    </row>
    <row r="130" spans="2:28" ht="15">
      <c r="B130" s="65"/>
      <c r="C130" s="57"/>
      <c r="D130" s="105" t="s">
        <v>73</v>
      </c>
      <c r="E130" s="129">
        <f>R85/(1000*60)</f>
        <v>0.06095382613932292</v>
      </c>
      <c r="F130" s="63"/>
      <c r="G130" s="6"/>
      <c r="H130" s="57"/>
      <c r="I130" s="43" t="s">
        <v>73</v>
      </c>
      <c r="J130" s="46">
        <f t="shared" si="1"/>
        <v>0.2032</v>
      </c>
      <c r="K130" s="46">
        <f t="shared" si="1"/>
        <v>130</v>
      </c>
      <c r="L130" s="46">
        <f t="shared" si="1"/>
        <v>228.60000000000002</v>
      </c>
      <c r="M130" s="43"/>
      <c r="N130" s="129">
        <f>-E130</f>
        <v>-0.06095382613932292</v>
      </c>
      <c r="O130" s="43"/>
      <c r="P130" s="63"/>
      <c r="Q130" s="6"/>
      <c r="R130" s="6" t="s">
        <v>67</v>
      </c>
      <c r="S130" s="9" t="s">
        <v>29</v>
      </c>
      <c r="T130" s="10">
        <f>T68</f>
        <v>0</v>
      </c>
      <c r="U130" s="11"/>
      <c r="V130" s="9" t="s">
        <v>30</v>
      </c>
      <c r="W130" s="10">
        <f>T68</f>
        <v>0</v>
      </c>
      <c r="X130" s="11"/>
      <c r="Y130" s="10">
        <f>T68+Y45</f>
        <v>0</v>
      </c>
      <c r="Z130" s="6" t="s">
        <v>31</v>
      </c>
      <c r="AA130" s="6"/>
      <c r="AB130" s="116"/>
    </row>
    <row r="131" spans="2:28" ht="15.75">
      <c r="B131" s="65"/>
      <c r="C131" s="57"/>
      <c r="D131" s="105" t="s">
        <v>74</v>
      </c>
      <c r="E131" s="129">
        <f>P82/(1000*60)</f>
        <v>0.1267964482421875</v>
      </c>
      <c r="F131" s="63"/>
      <c r="G131" s="6"/>
      <c r="H131" s="57"/>
      <c r="I131" s="43" t="s">
        <v>74</v>
      </c>
      <c r="J131" s="46">
        <f t="shared" si="1"/>
        <v>0.2032</v>
      </c>
      <c r="K131" s="46">
        <f t="shared" si="1"/>
        <v>130</v>
      </c>
      <c r="L131" s="46">
        <f t="shared" si="1"/>
        <v>121.92</v>
      </c>
      <c r="M131" s="43"/>
      <c r="N131" s="129">
        <f>-E131</f>
        <v>-0.1267964482421875</v>
      </c>
      <c r="O131" s="43"/>
      <c r="P131" s="63"/>
      <c r="Q131" s="6"/>
      <c r="R131" s="6"/>
      <c r="S131" s="6"/>
      <c r="T131" s="6"/>
      <c r="U131" s="213">
        <f>R93</f>
        <v>3557.229568359375</v>
      </c>
      <c r="V131" s="6"/>
      <c r="W131" s="6"/>
      <c r="X131" s="213">
        <f>U93</f>
        <v>3410.5656894531253</v>
      </c>
      <c r="Y131" s="6"/>
      <c r="Z131" s="6"/>
      <c r="AA131" s="6"/>
      <c r="AB131" s="116"/>
    </row>
    <row r="132" spans="2:28" ht="15">
      <c r="B132" s="65"/>
      <c r="C132" s="57"/>
      <c r="D132" s="11"/>
      <c r="E132" s="11"/>
      <c r="F132" s="63"/>
      <c r="G132" s="6"/>
      <c r="H132" s="57"/>
      <c r="I132" s="11"/>
      <c r="J132" s="43" t="s">
        <v>0</v>
      </c>
      <c r="K132" s="43" t="s">
        <v>0</v>
      </c>
      <c r="L132" s="43" t="s">
        <v>0</v>
      </c>
      <c r="M132" s="11"/>
      <c r="N132" s="11"/>
      <c r="O132" s="11"/>
      <c r="P132" s="63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116"/>
    </row>
    <row r="133" spans="2:28" ht="15">
      <c r="B133" s="65"/>
      <c r="C133" s="56"/>
      <c r="D133" s="105" t="s">
        <v>78</v>
      </c>
      <c r="E133" s="129">
        <f>R85/(1000*60)</f>
        <v>0.06095382613932292</v>
      </c>
      <c r="F133" s="63"/>
      <c r="G133" s="6"/>
      <c r="H133" s="56"/>
      <c r="I133" s="43" t="s">
        <v>78</v>
      </c>
      <c r="J133" s="46">
        <f aca="true" t="shared" si="2" ref="J133:L136">Q21</f>
        <v>0.2032</v>
      </c>
      <c r="K133" s="46">
        <f t="shared" si="2"/>
        <v>130</v>
      </c>
      <c r="L133" s="46">
        <f t="shared" si="2"/>
        <v>228.60000000000002</v>
      </c>
      <c r="M133" s="43"/>
      <c r="N133" s="129">
        <f>E133</f>
        <v>0.06095382613932292</v>
      </c>
      <c r="O133" s="43"/>
      <c r="P133" s="63"/>
      <c r="Q133" s="6"/>
      <c r="R133" s="6"/>
      <c r="S133" s="6"/>
      <c r="T133" s="6"/>
      <c r="U133" s="6" t="s">
        <v>196</v>
      </c>
      <c r="V133" s="6"/>
      <c r="W133" s="6"/>
      <c r="X133" s="6"/>
      <c r="Y133" s="6"/>
      <c r="Z133" s="6"/>
      <c r="AA133" s="6"/>
      <c r="AB133" s="116"/>
    </row>
    <row r="134" spans="2:28" ht="15">
      <c r="B134" s="65"/>
      <c r="C134" s="57" t="s">
        <v>68</v>
      </c>
      <c r="D134" s="105" t="s">
        <v>79</v>
      </c>
      <c r="E134" s="129">
        <f>T88/(1000*60)</f>
        <v>0.0008333333333333334</v>
      </c>
      <c r="F134" s="63"/>
      <c r="G134" s="6"/>
      <c r="H134" s="57" t="s">
        <v>68</v>
      </c>
      <c r="I134" s="43" t="s">
        <v>79</v>
      </c>
      <c r="J134" s="46">
        <f t="shared" si="2"/>
        <v>0.2032</v>
      </c>
      <c r="K134" s="46">
        <f t="shared" si="2"/>
        <v>130</v>
      </c>
      <c r="L134" s="46">
        <f t="shared" si="2"/>
        <v>243.84</v>
      </c>
      <c r="M134" s="43"/>
      <c r="N134" s="129">
        <f>E134</f>
        <v>0.0008333333333333334</v>
      </c>
      <c r="O134" s="43"/>
      <c r="P134" s="63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116"/>
    </row>
    <row r="135" spans="2:28" ht="15">
      <c r="B135" s="65"/>
      <c r="C135" s="57" t="s">
        <v>77</v>
      </c>
      <c r="D135" s="105" t="s">
        <v>80</v>
      </c>
      <c r="E135" s="205">
        <f>R93/(1000*60)</f>
        <v>0.05928715947265625</v>
      </c>
      <c r="F135" s="63"/>
      <c r="G135" s="6"/>
      <c r="H135" s="57" t="s">
        <v>77</v>
      </c>
      <c r="I135" s="43" t="s">
        <v>80</v>
      </c>
      <c r="J135" s="46">
        <f t="shared" si="2"/>
        <v>0.2032</v>
      </c>
      <c r="K135" s="46">
        <f t="shared" si="2"/>
        <v>130</v>
      </c>
      <c r="L135" s="46">
        <f t="shared" si="2"/>
        <v>228.60000000000002</v>
      </c>
      <c r="M135" s="43"/>
      <c r="N135" s="129">
        <f>-E135</f>
        <v>-0.05928715947265625</v>
      </c>
      <c r="O135" s="43"/>
      <c r="P135" s="63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116"/>
    </row>
    <row r="136" spans="2:28" ht="15">
      <c r="B136" s="65"/>
      <c r="C136" s="57"/>
      <c r="D136" s="105" t="s">
        <v>81</v>
      </c>
      <c r="E136" s="129">
        <f>P88/(1000*60)</f>
        <v>0.06256489078776042</v>
      </c>
      <c r="F136" s="63"/>
      <c r="G136" s="6"/>
      <c r="H136" s="57"/>
      <c r="I136" s="43" t="s">
        <v>81</v>
      </c>
      <c r="J136" s="46">
        <f t="shared" si="2"/>
        <v>0.2032</v>
      </c>
      <c r="K136" s="46">
        <f t="shared" si="2"/>
        <v>130</v>
      </c>
      <c r="L136" s="46">
        <f t="shared" si="2"/>
        <v>243.84</v>
      </c>
      <c r="M136" s="43"/>
      <c r="N136" s="129">
        <f>-E136</f>
        <v>-0.06256489078776042</v>
      </c>
      <c r="O136" s="43"/>
      <c r="P136" s="63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116"/>
    </row>
    <row r="137" spans="2:28" ht="15">
      <c r="B137" s="65"/>
      <c r="C137" s="57"/>
      <c r="D137" s="11"/>
      <c r="E137" s="193"/>
      <c r="F137" s="63"/>
      <c r="G137" s="6"/>
      <c r="H137" s="57"/>
      <c r="I137" s="11"/>
      <c r="J137" s="43" t="s">
        <v>0</v>
      </c>
      <c r="K137" s="43" t="s">
        <v>0</v>
      </c>
      <c r="L137" s="43" t="s">
        <v>0</v>
      </c>
      <c r="M137" s="43" t="s">
        <v>0</v>
      </c>
      <c r="N137" s="193"/>
      <c r="O137" s="11"/>
      <c r="P137" s="63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116"/>
    </row>
    <row r="138" spans="2:28" ht="15">
      <c r="B138" s="65"/>
      <c r="C138" s="57"/>
      <c r="D138" s="105" t="s">
        <v>83</v>
      </c>
      <c r="E138" s="129">
        <f>U85/(1000*60)</f>
        <v>0.05684276149088542</v>
      </c>
      <c r="F138" s="63"/>
      <c r="G138" s="6"/>
      <c r="H138" s="57"/>
      <c r="I138" s="43" t="s">
        <v>83</v>
      </c>
      <c r="J138" s="46">
        <f aca="true" t="shared" si="3" ref="J138:L141">Q26</f>
        <v>0.2032</v>
      </c>
      <c r="K138" s="46">
        <f t="shared" si="3"/>
        <v>130</v>
      </c>
      <c r="L138" s="46">
        <f t="shared" si="3"/>
        <v>228.60000000000002</v>
      </c>
      <c r="M138" s="43"/>
      <c r="N138" s="129">
        <f>E138</f>
        <v>0.05684276149088542</v>
      </c>
      <c r="O138" s="43"/>
      <c r="P138" s="63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116"/>
    </row>
    <row r="139" spans="2:28" ht="15">
      <c r="B139" s="65"/>
      <c r="C139" s="57" t="s">
        <v>68</v>
      </c>
      <c r="D139" s="105" t="s">
        <v>84</v>
      </c>
      <c r="E139" s="129">
        <f>W89/(1000*60)</f>
        <v>0.05684276149088542</v>
      </c>
      <c r="F139" s="63"/>
      <c r="G139" s="6"/>
      <c r="H139" s="57" t="s">
        <v>68</v>
      </c>
      <c r="I139" s="43" t="s">
        <v>84</v>
      </c>
      <c r="J139" s="46">
        <f t="shared" si="3"/>
        <v>0.2032</v>
      </c>
      <c r="K139" s="46">
        <f t="shared" si="3"/>
        <v>130</v>
      </c>
      <c r="L139" s="46">
        <f t="shared" si="3"/>
        <v>243.84</v>
      </c>
      <c r="M139" s="43"/>
      <c r="N139" s="129">
        <f>E139</f>
        <v>0.05684276149088542</v>
      </c>
      <c r="O139" s="43"/>
      <c r="P139" s="63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116"/>
    </row>
    <row r="140" spans="2:28" ht="15">
      <c r="B140" s="65"/>
      <c r="C140" s="57" t="s">
        <v>82</v>
      </c>
      <c r="D140" s="105" t="s">
        <v>85</v>
      </c>
      <c r="E140" s="129">
        <f>U93/(1000*60)</f>
        <v>0.05684276149088542</v>
      </c>
      <c r="F140" s="63"/>
      <c r="G140" s="6"/>
      <c r="H140" s="57" t="s">
        <v>82</v>
      </c>
      <c r="I140" s="43" t="s">
        <v>85</v>
      </c>
      <c r="J140" s="46">
        <f t="shared" si="3"/>
        <v>0.2032</v>
      </c>
      <c r="K140" s="46">
        <f t="shared" si="3"/>
        <v>130</v>
      </c>
      <c r="L140" s="46">
        <f t="shared" si="3"/>
        <v>228.60000000000002</v>
      </c>
      <c r="M140" s="43"/>
      <c r="N140" s="129">
        <f>-E140</f>
        <v>-0.05684276149088542</v>
      </c>
      <c r="O140" s="43"/>
      <c r="P140" s="63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116"/>
    </row>
    <row r="141" spans="2:28" ht="15">
      <c r="B141" s="65"/>
      <c r="C141" s="57"/>
      <c r="D141" s="105" t="s">
        <v>86</v>
      </c>
      <c r="E141" s="129">
        <f>T88/(1000*60)</f>
        <v>0.0008333333333333334</v>
      </c>
      <c r="F141" s="63"/>
      <c r="G141" s="6"/>
      <c r="H141" s="57"/>
      <c r="I141" s="43" t="s">
        <v>86</v>
      </c>
      <c r="J141" s="46">
        <f t="shared" si="3"/>
        <v>0.2032</v>
      </c>
      <c r="K141" s="46">
        <f t="shared" si="3"/>
        <v>130</v>
      </c>
      <c r="L141" s="46">
        <f t="shared" si="3"/>
        <v>243.84</v>
      </c>
      <c r="M141" s="43"/>
      <c r="N141" s="129">
        <f>-E141</f>
        <v>-0.0008333333333333334</v>
      </c>
      <c r="O141" s="43"/>
      <c r="P141" s="63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116"/>
    </row>
    <row r="142" spans="2:28" ht="15">
      <c r="B142" s="65"/>
      <c r="C142" s="57"/>
      <c r="D142" s="11"/>
      <c r="E142" s="206"/>
      <c r="F142" s="63"/>
      <c r="G142" s="6"/>
      <c r="H142" s="57"/>
      <c r="I142" s="11"/>
      <c r="J142" s="11"/>
      <c r="K142" s="11"/>
      <c r="L142" s="11"/>
      <c r="M142" s="11"/>
      <c r="N142" s="129" t="s">
        <v>0</v>
      </c>
      <c r="O142" s="11"/>
      <c r="P142" s="63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116"/>
    </row>
    <row r="143" spans="2:28" ht="15">
      <c r="B143" s="25"/>
      <c r="C143" s="56"/>
      <c r="D143" s="185" t="s">
        <v>136</v>
      </c>
      <c r="E143" s="207">
        <f>K105/(1000*60)</f>
        <v>0.13335191087239584</v>
      </c>
      <c r="F143" s="62"/>
      <c r="G143" s="6"/>
      <c r="H143" s="56"/>
      <c r="I143" s="68" t="s">
        <v>136</v>
      </c>
      <c r="J143" s="46">
        <f>Q31</f>
        <v>0.2032</v>
      </c>
      <c r="K143" s="46">
        <f>R31</f>
        <v>130</v>
      </c>
      <c r="L143" s="46">
        <f>S31</f>
        <v>30.48</v>
      </c>
      <c r="M143" s="93"/>
      <c r="N143" s="129">
        <f>E143</f>
        <v>0.13335191087239584</v>
      </c>
      <c r="O143" s="93"/>
      <c r="P143" s="62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116"/>
    </row>
    <row r="144" spans="2:28" ht="15.75" thickBot="1">
      <c r="B144" s="25"/>
      <c r="C144" s="60"/>
      <c r="D144" s="143"/>
      <c r="E144" s="143"/>
      <c r="F144" s="144"/>
      <c r="G144" s="6"/>
      <c r="H144" s="60"/>
      <c r="I144" s="143"/>
      <c r="J144" s="143"/>
      <c r="K144" s="143"/>
      <c r="L144" s="143"/>
      <c r="M144" s="143"/>
      <c r="N144" s="143"/>
      <c r="O144" s="143"/>
      <c r="P144" s="144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116"/>
    </row>
    <row r="145" spans="1:28" ht="15.75" thickTop="1">
      <c r="A145" s="1"/>
      <c r="B145" s="65"/>
      <c r="C145" s="6"/>
      <c r="D145" s="6"/>
      <c r="E145" s="6"/>
      <c r="F145" s="6"/>
      <c r="G145" s="6"/>
      <c r="H145" s="11"/>
      <c r="I145" s="11"/>
      <c r="J145" s="11"/>
      <c r="K145" s="11"/>
      <c r="L145" s="11"/>
      <c r="M145" s="11"/>
      <c r="N145" s="11"/>
      <c r="O145" s="11"/>
      <c r="P145" s="11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116"/>
    </row>
    <row r="146" spans="1:28" ht="15">
      <c r="A146" s="1"/>
      <c r="B146" s="65"/>
      <c r="C146" s="11" t="s">
        <v>146</v>
      </c>
      <c r="D146" s="19" t="s">
        <v>238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116"/>
    </row>
    <row r="147" spans="1:28" ht="15">
      <c r="A147" s="1"/>
      <c r="B147" s="65"/>
      <c r="C147" s="6"/>
      <c r="D147" s="6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6"/>
      <c r="U147" s="6"/>
      <c r="V147" s="6"/>
      <c r="W147" s="6"/>
      <c r="X147" s="6"/>
      <c r="Y147" s="6"/>
      <c r="Z147" s="6"/>
      <c r="AA147" s="6"/>
      <c r="AB147" s="116"/>
    </row>
    <row r="148" spans="1:28" ht="15.75" thickBot="1">
      <c r="A148" s="1"/>
      <c r="B148" s="66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29"/>
      <c r="U148" s="29"/>
      <c r="V148" s="29"/>
      <c r="W148" s="29"/>
      <c r="X148" s="29"/>
      <c r="Y148" s="29"/>
      <c r="Z148" s="29"/>
      <c r="AA148" s="29"/>
      <c r="AB148" s="117"/>
    </row>
    <row r="149" spans="1:19" ht="15.75" thickTop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15.75" thickBot="1"/>
    <row r="152" spans="2:28" ht="15.75" thickTop="1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58">
        <v>5</v>
      </c>
    </row>
    <row r="153" spans="2:28" ht="15">
      <c r="B153" s="25"/>
      <c r="C153" s="6"/>
      <c r="D153" s="145" t="s">
        <v>292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259"/>
    </row>
    <row r="154" spans="2:28" ht="15">
      <c r="B154" s="2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259"/>
    </row>
    <row r="155" spans="2:28" ht="15">
      <c r="B155" s="2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259"/>
    </row>
    <row r="156" spans="2:28" ht="15">
      <c r="B156" s="2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259"/>
    </row>
    <row r="157" spans="2:28" ht="15">
      <c r="B157" s="2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259"/>
    </row>
    <row r="158" spans="2:28" ht="15">
      <c r="B158" s="2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259"/>
    </row>
    <row r="159" spans="2:28" ht="15">
      <c r="B159" s="2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259"/>
    </row>
    <row r="160" spans="2:28" ht="15">
      <c r="B160" s="2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259"/>
    </row>
    <row r="161" spans="2:28" ht="15">
      <c r="B161" s="2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259"/>
    </row>
    <row r="162" spans="2:28" ht="15">
      <c r="B162" s="25"/>
      <c r="C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259"/>
    </row>
    <row r="163" spans="2:28" ht="15">
      <c r="B163" s="25"/>
      <c r="C163" s="6"/>
      <c r="D163" t="s">
        <v>293</v>
      </c>
      <c r="F163" s="11" t="s">
        <v>120</v>
      </c>
      <c r="G163" s="6" t="s">
        <v>241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259"/>
    </row>
    <row r="164" spans="2:28" ht="17.25">
      <c r="B164" s="25"/>
      <c r="C164" s="6"/>
      <c r="D164" t="s">
        <v>294</v>
      </c>
      <c r="F164" s="11" t="s">
        <v>121</v>
      </c>
      <c r="G164" s="6" t="s">
        <v>258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259"/>
    </row>
    <row r="165" spans="2:28" ht="15">
      <c r="B165" s="25"/>
      <c r="C165" s="6"/>
      <c r="D165" t="s">
        <v>301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173" t="s">
        <v>239</v>
      </c>
      <c r="U165" s="173"/>
      <c r="V165" s="173"/>
      <c r="W165" s="173"/>
      <c r="X165" s="199" t="s">
        <v>240</v>
      </c>
      <c r="Z165" s="6"/>
      <c r="AA165" s="6"/>
      <c r="AB165" s="259"/>
    </row>
    <row r="166" spans="2:28" ht="15">
      <c r="B166" s="25"/>
      <c r="C166" s="6"/>
      <c r="D166" t="s">
        <v>302</v>
      </c>
      <c r="F166" s="11" t="s">
        <v>32</v>
      </c>
      <c r="G166" s="6" t="s">
        <v>242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259"/>
    </row>
    <row r="167" spans="2:28" ht="15">
      <c r="B167" s="25"/>
      <c r="C167" s="6"/>
      <c r="D167" t="s">
        <v>295</v>
      </c>
      <c r="F167" s="11" t="s">
        <v>243</v>
      </c>
      <c r="G167" s="6" t="s">
        <v>241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V167" s="6"/>
      <c r="W167" s="6"/>
      <c r="X167" s="6"/>
      <c r="Y167" s="6"/>
      <c r="Z167" s="6"/>
      <c r="AA167" s="6"/>
      <c r="AB167" s="259"/>
    </row>
    <row r="168" spans="2:28" ht="15">
      <c r="B168" s="25"/>
      <c r="C168" s="6"/>
      <c r="D168" t="s">
        <v>296</v>
      </c>
      <c r="F168" s="11" t="s">
        <v>123</v>
      </c>
      <c r="G168" s="6" t="s">
        <v>241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W168" s="6"/>
      <c r="X168" s="6"/>
      <c r="Y168" s="6"/>
      <c r="Z168" s="6"/>
      <c r="AA168" s="6"/>
      <c r="AB168" s="259"/>
    </row>
    <row r="169" spans="2:28" ht="15">
      <c r="B169" s="25"/>
      <c r="C169" s="6"/>
      <c r="D169" s="175" t="s">
        <v>297</v>
      </c>
      <c r="F169" s="48" t="s">
        <v>245</v>
      </c>
      <c r="G169" s="47" t="s">
        <v>241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W169" s="6"/>
      <c r="X169" s="6"/>
      <c r="Y169" s="6"/>
      <c r="Z169" s="6"/>
      <c r="AA169" s="6"/>
      <c r="AB169" s="259"/>
    </row>
    <row r="170" spans="2:28" ht="15">
      <c r="B170" s="25"/>
      <c r="C170" s="6"/>
      <c r="D170" t="s">
        <v>299</v>
      </c>
      <c r="F170" s="48" t="s">
        <v>122</v>
      </c>
      <c r="G170" s="47" t="s">
        <v>244</v>
      </c>
      <c r="H170" s="6"/>
      <c r="I170" s="6"/>
      <c r="J170" s="6"/>
      <c r="K170" s="6"/>
      <c r="L170" s="6"/>
      <c r="M170" s="6"/>
      <c r="N170" s="6"/>
      <c r="P170" s="6"/>
      <c r="Q170" s="6"/>
      <c r="R170" s="6"/>
      <c r="S170" s="6"/>
      <c r="W170" s="6"/>
      <c r="X170" s="6"/>
      <c r="Y170" s="6"/>
      <c r="Z170" s="6"/>
      <c r="AA170" s="6"/>
      <c r="AB170" s="259"/>
    </row>
    <row r="171" spans="2:28" ht="15">
      <c r="B171" s="25"/>
      <c r="C171" s="6"/>
      <c r="D171" t="s">
        <v>300</v>
      </c>
      <c r="F171" s="48" t="s">
        <v>246</v>
      </c>
      <c r="G171" s="47" t="s">
        <v>298</v>
      </c>
      <c r="H171" s="6"/>
      <c r="I171" s="6"/>
      <c r="J171" s="6"/>
      <c r="K171" s="6"/>
      <c r="L171" s="6"/>
      <c r="M171" s="6"/>
      <c r="N171" s="6"/>
      <c r="P171" s="6"/>
      <c r="Q171" s="6"/>
      <c r="R171" s="6"/>
      <c r="S171" s="6"/>
      <c r="W171" s="6"/>
      <c r="X171" s="6"/>
      <c r="Y171" s="6"/>
      <c r="Z171" s="6"/>
      <c r="AA171" s="6"/>
      <c r="AB171" s="259"/>
    </row>
    <row r="172" spans="2:28" ht="15">
      <c r="B172" s="25"/>
      <c r="C172" s="6"/>
      <c r="H172" s="6"/>
      <c r="I172" s="6"/>
      <c r="J172" s="6"/>
      <c r="K172" s="6"/>
      <c r="L172" s="6"/>
      <c r="M172" s="6"/>
      <c r="N172" s="6"/>
      <c r="P172" s="6"/>
      <c r="Q172" s="6"/>
      <c r="R172" s="6"/>
      <c r="S172" s="6"/>
      <c r="T172" s="255" t="s">
        <v>249</v>
      </c>
      <c r="U172" s="256" t="s">
        <v>250</v>
      </c>
      <c r="V172" s="256"/>
      <c r="W172" s="173"/>
      <c r="X172" s="173" t="s">
        <v>276</v>
      </c>
      <c r="Y172" s="6"/>
      <c r="Z172" s="6"/>
      <c r="AA172" s="6"/>
      <c r="AB172" s="259"/>
    </row>
    <row r="173" spans="2:28" ht="15">
      <c r="B173" s="25"/>
      <c r="C173" s="6"/>
      <c r="D173" s="267" t="s">
        <v>303</v>
      </c>
      <c r="F173" s="6"/>
      <c r="G173" s="6"/>
      <c r="H173" s="6"/>
      <c r="I173" s="6"/>
      <c r="J173" s="6"/>
      <c r="K173" s="6"/>
      <c r="L173" s="6"/>
      <c r="M173" s="6"/>
      <c r="N173" s="6"/>
      <c r="P173" s="6"/>
      <c r="Q173" s="6"/>
      <c r="R173" s="6"/>
      <c r="S173" s="6"/>
      <c r="V173" s="6"/>
      <c r="W173" s="6"/>
      <c r="X173" s="6"/>
      <c r="Y173" s="6"/>
      <c r="Z173" s="6"/>
      <c r="AA173" s="6"/>
      <c r="AB173" s="259"/>
    </row>
    <row r="174" spans="2:28" ht="15">
      <c r="B174" s="25"/>
      <c r="C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P174" s="6"/>
      <c r="Q174" s="6"/>
      <c r="R174" s="6"/>
      <c r="S174" s="6"/>
      <c r="V174" s="6"/>
      <c r="W174" s="6"/>
      <c r="X174" s="6"/>
      <c r="Y174" s="6"/>
      <c r="Z174" s="6"/>
      <c r="AA174" s="6"/>
      <c r="AB174" s="259"/>
    </row>
    <row r="175" spans="2:28" ht="15">
      <c r="B175" s="25"/>
      <c r="C175" s="6"/>
      <c r="D175" t="s">
        <v>304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P175" s="6"/>
      <c r="Q175" s="6"/>
      <c r="R175" s="6"/>
      <c r="S175" s="6"/>
      <c r="V175" s="6"/>
      <c r="W175" s="6"/>
      <c r="X175" s="6"/>
      <c r="Y175" s="6"/>
      <c r="Z175" s="6"/>
      <c r="AA175" s="6"/>
      <c r="AB175" s="259"/>
    </row>
    <row r="176" spans="2:28" ht="15">
      <c r="B176" s="25"/>
      <c r="C176" s="6"/>
      <c r="D176" t="s">
        <v>305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V176" s="6"/>
      <c r="W176" s="6"/>
      <c r="X176" s="6"/>
      <c r="Y176" s="6"/>
      <c r="Z176" s="6"/>
      <c r="AA176" s="6"/>
      <c r="AB176" s="259"/>
    </row>
    <row r="177" spans="2:28" ht="15">
      <c r="B177" s="25"/>
      <c r="C177" s="6"/>
      <c r="D177" t="s">
        <v>306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259"/>
    </row>
    <row r="178" spans="2:28" ht="15">
      <c r="B178" s="25"/>
      <c r="C178" s="6"/>
      <c r="D178" t="s">
        <v>307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259"/>
    </row>
    <row r="179" spans="2:28" ht="15">
      <c r="B179" s="2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173"/>
      <c r="S179" s="173"/>
      <c r="T179" s="257" t="s">
        <v>251</v>
      </c>
      <c r="U179" s="173" t="s">
        <v>252</v>
      </c>
      <c r="V179" s="199"/>
      <c r="W179" s="173" t="s">
        <v>277</v>
      </c>
      <c r="X179" s="6"/>
      <c r="Y179" s="6"/>
      <c r="Z179" s="6"/>
      <c r="AA179" s="6"/>
      <c r="AB179" s="259"/>
    </row>
    <row r="180" spans="2:28" ht="15">
      <c r="B180" s="2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259"/>
    </row>
    <row r="181" spans="2:28" ht="15">
      <c r="B181" s="2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11"/>
      <c r="S181" s="6"/>
      <c r="T181" s="6"/>
      <c r="U181" s="6"/>
      <c r="V181" s="6"/>
      <c r="W181" s="6"/>
      <c r="X181" s="6"/>
      <c r="Y181" s="6"/>
      <c r="Z181" s="6"/>
      <c r="AA181" s="6"/>
      <c r="AB181" s="259"/>
    </row>
    <row r="182" spans="2:28" ht="15">
      <c r="B182" s="2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11"/>
      <c r="S182" s="6"/>
      <c r="U182" s="6"/>
      <c r="V182" s="6"/>
      <c r="W182" s="6"/>
      <c r="X182" s="6"/>
      <c r="Y182" s="6"/>
      <c r="Z182" s="6"/>
      <c r="AA182" s="6"/>
      <c r="AB182" s="259"/>
    </row>
    <row r="183" spans="2:28" ht="15">
      <c r="B183" s="2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11"/>
      <c r="S183" s="6"/>
      <c r="U183" s="6"/>
      <c r="V183" s="6"/>
      <c r="W183" s="6"/>
      <c r="X183" s="6"/>
      <c r="Y183" s="6"/>
      <c r="Z183" s="6"/>
      <c r="AA183" s="6"/>
      <c r="AB183" s="259"/>
    </row>
    <row r="184" spans="2:28" ht="15">
      <c r="B184" s="2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11"/>
      <c r="S184" s="6"/>
      <c r="U184" s="6"/>
      <c r="V184" s="6"/>
      <c r="W184" s="6"/>
      <c r="X184" s="6"/>
      <c r="Y184" s="6"/>
      <c r="Z184" s="6"/>
      <c r="AA184" s="6"/>
      <c r="AB184" s="259"/>
    </row>
    <row r="185" spans="2:28" ht="15">
      <c r="B185" s="2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11"/>
      <c r="S185" s="6"/>
      <c r="U185" s="6"/>
      <c r="V185" s="6"/>
      <c r="W185" s="6"/>
      <c r="X185" s="6"/>
      <c r="Y185" s="6"/>
      <c r="Z185" s="6"/>
      <c r="AA185" s="6"/>
      <c r="AB185" s="259"/>
    </row>
    <row r="186" spans="2:28" ht="15.75" thickBot="1">
      <c r="B186" s="28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60"/>
    </row>
    <row r="187" ht="15.75" thickTop="1"/>
    <row r="189" ht="15.75" thickBot="1"/>
    <row r="190" spans="2:28" ht="15.75" thickTop="1">
      <c r="B190" s="2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AB190" s="114">
        <v>6</v>
      </c>
    </row>
    <row r="191" spans="2:30" ht="16.5" thickBot="1">
      <c r="B191" s="184"/>
      <c r="C191" s="124" t="s">
        <v>261</v>
      </c>
      <c r="S191" s="47"/>
      <c r="T191" s="47"/>
      <c r="U191" s="47"/>
      <c r="V191" s="47"/>
      <c r="W191" s="47"/>
      <c r="X191" s="47"/>
      <c r="Y191" s="47"/>
      <c r="Z191" s="47"/>
      <c r="AA191" s="47"/>
      <c r="AB191" s="123" t="s">
        <v>0</v>
      </c>
      <c r="AC191" s="47"/>
      <c r="AD191" s="47"/>
    </row>
    <row r="192" spans="2:30" ht="16.5" thickBot="1" thickTop="1">
      <c r="B192" s="25"/>
      <c r="D192" s="47"/>
      <c r="E192" s="47"/>
      <c r="F192" s="47"/>
      <c r="G192" s="47"/>
      <c r="L192" t="s">
        <v>272</v>
      </c>
      <c r="P192" s="47"/>
      <c r="Q192" s="47"/>
      <c r="R192" s="47"/>
      <c r="S192" s="6"/>
      <c r="U192" s="120" t="s">
        <v>100</v>
      </c>
      <c r="V192" s="121">
        <v>1.85</v>
      </c>
      <c r="X192" s="187" t="s">
        <v>106</v>
      </c>
      <c r="Y192" s="6"/>
      <c r="Z192" s="6"/>
      <c r="AA192" s="6"/>
      <c r="AB192" s="118"/>
      <c r="AC192" s="6"/>
      <c r="AD192" s="6"/>
    </row>
    <row r="193" spans="2:30" ht="15.75" thickTop="1">
      <c r="B193" s="25"/>
      <c r="L193" t="s">
        <v>149</v>
      </c>
      <c r="S193" s="6"/>
      <c r="X193" s="6" t="s">
        <v>107</v>
      </c>
      <c r="Y193" s="6"/>
      <c r="Z193" s="6"/>
      <c r="AA193" s="6"/>
      <c r="AB193" s="118"/>
      <c r="AC193" s="6"/>
      <c r="AD193" s="6"/>
    </row>
    <row r="194" spans="2:30" ht="15">
      <c r="B194" s="25"/>
      <c r="L194" t="s">
        <v>308</v>
      </c>
      <c r="R194" s="6"/>
      <c r="S194" s="6"/>
      <c r="X194" t="s">
        <v>108</v>
      </c>
      <c r="Y194" s="6"/>
      <c r="Z194" s="6"/>
      <c r="AA194" s="6"/>
      <c r="AB194" s="118"/>
      <c r="AC194" s="6"/>
      <c r="AD194" s="6"/>
    </row>
    <row r="195" spans="2:30" ht="18.75">
      <c r="B195" s="25"/>
      <c r="C195" s="1" t="s">
        <v>249</v>
      </c>
      <c r="D195" t="s">
        <v>279</v>
      </c>
      <c r="H195" s="200" t="s">
        <v>251</v>
      </c>
      <c r="I195" s="198" t="s">
        <v>252</v>
      </c>
      <c r="L195" t="s">
        <v>147</v>
      </c>
      <c r="R195" s="6"/>
      <c r="S195" s="6"/>
      <c r="X195" s="9" t="s">
        <v>109</v>
      </c>
      <c r="Y195" s="6" t="s">
        <v>324</v>
      </c>
      <c r="Z195" s="6"/>
      <c r="AA195" s="6"/>
      <c r="AB195" s="118"/>
      <c r="AC195" s="6"/>
      <c r="AD195" s="6"/>
    </row>
    <row r="196" spans="2:30" ht="15">
      <c r="B196" s="25"/>
      <c r="R196" s="6"/>
      <c r="S196" s="6"/>
      <c r="AA196" s="6"/>
      <c r="AB196" s="118"/>
      <c r="AC196" s="6"/>
      <c r="AD196" s="6"/>
    </row>
    <row r="197" spans="2:30" ht="15">
      <c r="B197" s="25"/>
      <c r="C197" s="6"/>
      <c r="D197" s="50" t="s">
        <v>148</v>
      </c>
      <c r="E197" s="51"/>
      <c r="F197" s="51"/>
      <c r="G197" s="51"/>
      <c r="H197" s="51"/>
      <c r="I197" s="51"/>
      <c r="J197" s="51"/>
      <c r="K197" s="54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AB197" s="118"/>
      <c r="AC197" s="6"/>
      <c r="AD197" s="6"/>
    </row>
    <row r="198" spans="2:30" ht="17.25">
      <c r="B198" s="25"/>
      <c r="C198" s="6"/>
      <c r="D198" s="33" t="s">
        <v>75</v>
      </c>
      <c r="E198" s="11" t="s">
        <v>221</v>
      </c>
      <c r="F198" s="11" t="s">
        <v>32</v>
      </c>
      <c r="G198" s="11" t="s">
        <v>212</v>
      </c>
      <c r="H198" s="11" t="s">
        <v>76</v>
      </c>
      <c r="I198" s="11" t="s">
        <v>254</v>
      </c>
      <c r="J198" s="11" t="s">
        <v>253</v>
      </c>
      <c r="K198" s="88" t="s">
        <v>101</v>
      </c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118"/>
      <c r="AC198" s="6"/>
      <c r="AD198" s="6"/>
    </row>
    <row r="199" spans="2:30" ht="15">
      <c r="B199" s="25"/>
      <c r="C199" s="6"/>
      <c r="D199" s="49"/>
      <c r="E199" s="6"/>
      <c r="F199" s="6"/>
      <c r="G199" s="6"/>
      <c r="H199" s="48" t="s">
        <v>247</v>
      </c>
      <c r="I199" s="47"/>
      <c r="J199" s="11" t="s">
        <v>248</v>
      </c>
      <c r="K199" s="39" t="s">
        <v>103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118"/>
      <c r="AC199" s="6"/>
      <c r="AD199" s="6"/>
    </row>
    <row r="200" spans="2:30" ht="15">
      <c r="B200" s="25"/>
      <c r="C200" s="6"/>
      <c r="D200" s="36" t="s">
        <v>87</v>
      </c>
      <c r="E200" s="197">
        <f>J121</f>
        <v>0.2032</v>
      </c>
      <c r="F200" s="197">
        <f>K121</f>
        <v>130</v>
      </c>
      <c r="G200" s="197">
        <f>L121</f>
        <v>30.48</v>
      </c>
      <c r="H200" s="196">
        <f>10.626*G200/(F200^1.85*E200^4.867)</f>
        <v>92.88057749135359</v>
      </c>
      <c r="I200" s="202">
        <f>N121</f>
        <v>0.13335191087239584</v>
      </c>
      <c r="J200" s="196">
        <f>IF(I200&lt;0,-H200*ABS(I200)^1.85,H200*ABS(I200)^1.85)</f>
        <v>2.234464746530911</v>
      </c>
      <c r="K200" s="71">
        <f>1.85*ABS(J200/I200)</f>
        <v>30.99887923644207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118" t="s">
        <v>0</v>
      </c>
      <c r="AC200" s="6"/>
      <c r="AD200" s="6"/>
    </row>
    <row r="201" spans="2:30" ht="15.75" thickBot="1">
      <c r="B201" s="25"/>
      <c r="H201" t="s">
        <v>0</v>
      </c>
      <c r="K201" s="73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118"/>
      <c r="AC201" s="6"/>
      <c r="AD201" s="29"/>
    </row>
    <row r="202" spans="2:56" ht="15.75" thickTop="1">
      <c r="B202" s="25"/>
      <c r="C202" s="26"/>
      <c r="D202" s="125">
        <v>1</v>
      </c>
      <c r="E202" s="126" t="s">
        <v>111</v>
      </c>
      <c r="F202" s="126"/>
      <c r="G202" s="126"/>
      <c r="H202" s="126"/>
      <c r="I202" s="27"/>
      <c r="J202" s="27"/>
      <c r="K202" s="249"/>
      <c r="L202" s="157"/>
      <c r="M202" s="125">
        <f>D202+1</f>
        <v>2</v>
      </c>
      <c r="N202" s="126" t="s">
        <v>111</v>
      </c>
      <c r="O202" s="126"/>
      <c r="P202" s="127"/>
      <c r="Q202" s="125">
        <f>M202+1</f>
        <v>3</v>
      </c>
      <c r="R202" s="126" t="s">
        <v>111</v>
      </c>
      <c r="S202" s="126"/>
      <c r="T202" s="127"/>
      <c r="U202" s="125">
        <f>Q202+1</f>
        <v>4</v>
      </c>
      <c r="V202" s="126" t="s">
        <v>111</v>
      </c>
      <c r="W202" s="126"/>
      <c r="X202" s="127"/>
      <c r="Y202" s="125">
        <f>U202+1</f>
        <v>5</v>
      </c>
      <c r="Z202" s="126" t="s">
        <v>111</v>
      </c>
      <c r="AA202" s="126"/>
      <c r="AB202" s="128"/>
      <c r="AC202" s="125">
        <f>Y202+1</f>
        <v>6</v>
      </c>
      <c r="AD202" s="126" t="s">
        <v>111</v>
      </c>
      <c r="AE202" s="126"/>
      <c r="AF202" s="127"/>
      <c r="AG202" s="125">
        <f>AC202+1</f>
        <v>7</v>
      </c>
      <c r="AH202" s="126" t="s">
        <v>111</v>
      </c>
      <c r="AI202" s="126"/>
      <c r="AJ202" s="127"/>
      <c r="AK202" s="125">
        <f>AG202+1</f>
        <v>8</v>
      </c>
      <c r="AL202" s="126" t="s">
        <v>111</v>
      </c>
      <c r="AM202" s="126"/>
      <c r="AN202" s="127"/>
      <c r="AO202" s="125">
        <f>AK202+1</f>
        <v>9</v>
      </c>
      <c r="AP202" s="126" t="s">
        <v>111</v>
      </c>
      <c r="AQ202" s="126"/>
      <c r="AR202" s="127"/>
      <c r="AS202" s="125">
        <f>AO202+1</f>
        <v>10</v>
      </c>
      <c r="AT202" s="126" t="s">
        <v>111</v>
      </c>
      <c r="AU202" s="126"/>
      <c r="AV202" s="127"/>
      <c r="AW202" s="125">
        <f>AS202+1</f>
        <v>11</v>
      </c>
      <c r="AX202" s="126" t="s">
        <v>111</v>
      </c>
      <c r="AY202" s="126"/>
      <c r="AZ202" s="127"/>
      <c r="BA202" s="125">
        <f>AW202+1</f>
        <v>12</v>
      </c>
      <c r="BB202" s="126" t="s">
        <v>111</v>
      </c>
      <c r="BC202" s="126"/>
      <c r="BD202" s="130"/>
    </row>
    <row r="203" spans="2:56" ht="18.75">
      <c r="B203" s="25"/>
      <c r="C203" s="25"/>
      <c r="D203" s="33" t="s">
        <v>75</v>
      </c>
      <c r="E203" s="11" t="s">
        <v>221</v>
      </c>
      <c r="F203" s="11" t="s">
        <v>32</v>
      </c>
      <c r="G203" s="11" t="s">
        <v>212</v>
      </c>
      <c r="H203" s="11" t="s">
        <v>76</v>
      </c>
      <c r="I203" s="34" t="s">
        <v>254</v>
      </c>
      <c r="J203" s="35" t="s">
        <v>253</v>
      </c>
      <c r="K203" s="248" t="s">
        <v>101</v>
      </c>
      <c r="L203" s="167" t="s">
        <v>255</v>
      </c>
      <c r="M203" s="48" t="s">
        <v>256</v>
      </c>
      <c r="N203" s="11" t="s">
        <v>253</v>
      </c>
      <c r="O203" s="72" t="s">
        <v>101</v>
      </c>
      <c r="P203" s="167" t="s">
        <v>255</v>
      </c>
      <c r="Q203" s="48" t="s">
        <v>256</v>
      </c>
      <c r="R203" s="11" t="s">
        <v>253</v>
      </c>
      <c r="S203" s="72" t="s">
        <v>101</v>
      </c>
      <c r="T203" s="167" t="s">
        <v>255</v>
      </c>
      <c r="U203" s="48" t="s">
        <v>256</v>
      </c>
      <c r="V203" s="11" t="s">
        <v>253</v>
      </c>
      <c r="W203" s="72" t="s">
        <v>101</v>
      </c>
      <c r="X203" s="167" t="s">
        <v>255</v>
      </c>
      <c r="Y203" s="48" t="s">
        <v>256</v>
      </c>
      <c r="Z203" s="11" t="s">
        <v>253</v>
      </c>
      <c r="AA203" s="72" t="s">
        <v>101</v>
      </c>
      <c r="AB203" s="261" t="s">
        <v>278</v>
      </c>
      <c r="AC203" s="48" t="s">
        <v>256</v>
      </c>
      <c r="AD203" s="11" t="s">
        <v>253</v>
      </c>
      <c r="AE203" s="72" t="s">
        <v>101</v>
      </c>
      <c r="AF203" s="167" t="s">
        <v>255</v>
      </c>
      <c r="AG203" s="48" t="s">
        <v>256</v>
      </c>
      <c r="AH203" s="11" t="s">
        <v>253</v>
      </c>
      <c r="AI203" s="72" t="s">
        <v>101</v>
      </c>
      <c r="AJ203" s="167" t="s">
        <v>255</v>
      </c>
      <c r="AK203" s="48" t="s">
        <v>256</v>
      </c>
      <c r="AL203" s="11" t="s">
        <v>253</v>
      </c>
      <c r="AM203" s="72" t="s">
        <v>101</v>
      </c>
      <c r="AN203" s="167" t="s">
        <v>255</v>
      </c>
      <c r="AO203" s="48" t="s">
        <v>256</v>
      </c>
      <c r="AP203" s="11" t="s">
        <v>253</v>
      </c>
      <c r="AQ203" s="72" t="s">
        <v>101</v>
      </c>
      <c r="AR203" s="167" t="s">
        <v>255</v>
      </c>
      <c r="AS203" s="48" t="s">
        <v>256</v>
      </c>
      <c r="AT203" s="11" t="s">
        <v>253</v>
      </c>
      <c r="AU203" s="72" t="s">
        <v>101</v>
      </c>
      <c r="AV203" s="167" t="s">
        <v>255</v>
      </c>
      <c r="AW203" s="48" t="s">
        <v>256</v>
      </c>
      <c r="AX203" s="11" t="s">
        <v>253</v>
      </c>
      <c r="AY203" s="72" t="s">
        <v>101</v>
      </c>
      <c r="AZ203" s="167" t="s">
        <v>255</v>
      </c>
      <c r="BA203" s="48" t="s">
        <v>256</v>
      </c>
      <c r="BB203" s="11" t="s">
        <v>253</v>
      </c>
      <c r="BC203" s="72" t="s">
        <v>101</v>
      </c>
      <c r="BD203" s="167" t="s">
        <v>255</v>
      </c>
    </row>
    <row r="204" spans="2:56" ht="15">
      <c r="B204" s="25"/>
      <c r="C204" s="65"/>
      <c r="D204" s="87"/>
      <c r="E204" s="82"/>
      <c r="F204" s="82"/>
      <c r="G204" s="82"/>
      <c r="H204" s="37" t="s">
        <v>276</v>
      </c>
      <c r="I204" s="268" t="s">
        <v>310</v>
      </c>
      <c r="J204" s="37" t="s">
        <v>248</v>
      </c>
      <c r="K204" s="37" t="s">
        <v>103</v>
      </c>
      <c r="L204" s="39" t="s">
        <v>309</v>
      </c>
      <c r="M204" s="11" t="s">
        <v>105</v>
      </c>
      <c r="N204" s="11" t="s">
        <v>277</v>
      </c>
      <c r="O204" s="11" t="s">
        <v>103</v>
      </c>
      <c r="P204" s="39" t="s">
        <v>309</v>
      </c>
      <c r="Q204" s="11" t="s">
        <v>105</v>
      </c>
      <c r="R204" s="11" t="s">
        <v>277</v>
      </c>
      <c r="S204" s="11" t="s">
        <v>103</v>
      </c>
      <c r="T204" s="39" t="s">
        <v>309</v>
      </c>
      <c r="U204" s="11" t="s">
        <v>105</v>
      </c>
      <c r="V204" s="11" t="s">
        <v>277</v>
      </c>
      <c r="W204" s="11" t="s">
        <v>103</v>
      </c>
      <c r="X204" s="39" t="s">
        <v>309</v>
      </c>
      <c r="Y204" s="11" t="s">
        <v>105</v>
      </c>
      <c r="Z204" s="11" t="s">
        <v>277</v>
      </c>
      <c r="AA204" s="11" t="s">
        <v>103</v>
      </c>
      <c r="AB204" s="39" t="s">
        <v>309</v>
      </c>
      <c r="AC204" s="11" t="s">
        <v>105</v>
      </c>
      <c r="AD204" s="11" t="s">
        <v>277</v>
      </c>
      <c r="AE204" s="11" t="s">
        <v>103</v>
      </c>
      <c r="AF204" s="39" t="s">
        <v>309</v>
      </c>
      <c r="AG204" s="11" t="s">
        <v>105</v>
      </c>
      <c r="AH204" s="11" t="s">
        <v>277</v>
      </c>
      <c r="AI204" s="11" t="s">
        <v>103</v>
      </c>
      <c r="AJ204" s="39" t="s">
        <v>309</v>
      </c>
      <c r="AK204" s="11" t="s">
        <v>105</v>
      </c>
      <c r="AL204" s="11" t="s">
        <v>277</v>
      </c>
      <c r="AM204" s="11" t="s">
        <v>103</v>
      </c>
      <c r="AN204" s="39" t="s">
        <v>309</v>
      </c>
      <c r="AO204" s="11" t="s">
        <v>105</v>
      </c>
      <c r="AP204" s="11" t="s">
        <v>277</v>
      </c>
      <c r="AQ204" s="11" t="s">
        <v>103</v>
      </c>
      <c r="AR204" s="39" t="s">
        <v>309</v>
      </c>
      <c r="AS204" s="11" t="s">
        <v>105</v>
      </c>
      <c r="AT204" s="11" t="s">
        <v>277</v>
      </c>
      <c r="AU204" s="11" t="s">
        <v>103</v>
      </c>
      <c r="AV204" s="39" t="s">
        <v>309</v>
      </c>
      <c r="AW204" s="11" t="s">
        <v>105</v>
      </c>
      <c r="AX204" s="11" t="s">
        <v>277</v>
      </c>
      <c r="AY204" s="11" t="s">
        <v>103</v>
      </c>
      <c r="AZ204" s="39" t="s">
        <v>309</v>
      </c>
      <c r="BA204" s="11" t="s">
        <v>105</v>
      </c>
      <c r="BB204" s="11" t="s">
        <v>277</v>
      </c>
      <c r="BC204" s="11" t="s">
        <v>103</v>
      </c>
      <c r="BD204" s="39" t="s">
        <v>309</v>
      </c>
    </row>
    <row r="205" spans="2:56" ht="15">
      <c r="B205" s="25"/>
      <c r="C205" s="65"/>
      <c r="D205" s="42" t="s">
        <v>70</v>
      </c>
      <c r="E205" s="85">
        <f aca="true" t="shared" si="4" ref="E205:G209">J127</f>
        <v>0.2032</v>
      </c>
      <c r="F205" s="85">
        <f t="shared" si="4"/>
        <v>130</v>
      </c>
      <c r="G205" s="254">
        <f t="shared" si="4"/>
        <v>457.20000000000005</v>
      </c>
      <c r="H205" s="274">
        <f>10.626*G205/(F205^1.85*E205^4.87)</f>
        <v>1399.8851125468652</v>
      </c>
      <c r="I205" s="275">
        <f>N127</f>
        <v>0.0065554626302083314</v>
      </c>
      <c r="J205" s="76">
        <f>IF(I205&lt;0,-$H205*ABS(I205)^1.85,$H205*ABS(I205)^1.85)</f>
        <v>0.1278817542139604</v>
      </c>
      <c r="K205" s="86">
        <f>1.85*ABS(J205/I205)</f>
        <v>36.089176102634305</v>
      </c>
      <c r="L205" s="203">
        <f>-J210/K210</f>
        <v>0.03927845264633919</v>
      </c>
      <c r="M205" s="269">
        <f>I205+L205</f>
        <v>0.045833915276547524</v>
      </c>
      <c r="N205" s="74">
        <f>IF(M205&lt;0,-$H205*ABS(M205)^1.85,$H205*ABS(M205)^1.85)</f>
        <v>4.669692321480069</v>
      </c>
      <c r="O205" s="129">
        <f>1.85*ABS(N205/M205)</f>
        <v>188.4833696317131</v>
      </c>
      <c r="P205" s="217">
        <f>-N210/O210</f>
        <v>-0.0006957409618372574</v>
      </c>
      <c r="Q205" s="203">
        <f>M205+P205</f>
        <v>0.04513817431471027</v>
      </c>
      <c r="R205" s="74">
        <f>IF(Q205&lt;0,-$H205*ABS(Q205)^1.85,$H205*ABS(Q205)^1.85)</f>
        <v>4.539403365117203</v>
      </c>
      <c r="S205" s="129">
        <f>1.85*ABS(R205/Q205)</f>
        <v>186.04864625040895</v>
      </c>
      <c r="T205" s="203">
        <f>-R210/S210</f>
        <v>0.0026017496711841516</v>
      </c>
      <c r="U205" s="203">
        <f>Q205+T205</f>
        <v>0.04773992398589442</v>
      </c>
      <c r="V205" s="74">
        <f>IF(U205&lt;0,-$H205*ABS(U205)^1.85,$H205*ABS(U205)^1.85)</f>
        <v>5.0352795031172874</v>
      </c>
      <c r="W205" s="129">
        <f>1.85*ABS(V205/U205)</f>
        <v>195.12530190704405</v>
      </c>
      <c r="X205" s="217">
        <f>-V210/W210</f>
        <v>0.00045236565720422885</v>
      </c>
      <c r="Y205" s="204">
        <f>U205+X205</f>
        <v>0.04819228964309865</v>
      </c>
      <c r="Z205" s="74">
        <f>IF(Y205&lt;0,-$H205*ABS(Y205)^1.85,$H205*ABS(Y205)^1.85)</f>
        <v>5.1239027882161245</v>
      </c>
      <c r="AA205" s="129">
        <f>1.85*ABS(Z205/Y205)</f>
        <v>196.69578325497338</v>
      </c>
      <c r="AB205" s="262">
        <f>-Z210/AA210</f>
        <v>0.0002572088879332841</v>
      </c>
      <c r="AC205" s="204">
        <f>Y205+AB205</f>
        <v>0.048449498531031934</v>
      </c>
      <c r="AD205" s="74">
        <f>IF(AC205&lt;0,-$H205*ABS(AC205)^1.85,$H205*ABS(AC205)^1.85)</f>
        <v>5.174609418093925</v>
      </c>
      <c r="AE205" s="129">
        <f>1.85*ABS(AD205/AC205)</f>
        <v>197.58775041484137</v>
      </c>
      <c r="AF205" s="45">
        <f>-AD210/AE210</f>
        <v>7.034122694436292E-05</v>
      </c>
      <c r="AG205" s="204">
        <f>AC205+AF205</f>
        <v>0.048519839757976295</v>
      </c>
      <c r="AH205" s="74">
        <f>IF(AG205&lt;0,-$H205*ABS(AG205)^1.85,$H205*ABS(AG205)^1.85)</f>
        <v>5.188516558161658</v>
      </c>
      <c r="AI205" s="129">
        <f>1.85*ABS(AH205/AG205)</f>
        <v>197.83156087239766</v>
      </c>
      <c r="AJ205" s="204">
        <f>-AH210/AI210</f>
        <v>3.067671146970054E-05</v>
      </c>
      <c r="AK205" s="204">
        <f>AG205+AJ205</f>
        <v>0.048550516469446</v>
      </c>
      <c r="AL205" s="74">
        <f>IF(AK205&lt;0,-$H205*ABS(AK205)^1.85,$H205*ABS(AK205)^1.85)</f>
        <v>5.194587010555198</v>
      </c>
      <c r="AM205" s="129">
        <f>1.85*ABS(AL205/AK205)</f>
        <v>197.93787313415936</v>
      </c>
      <c r="AN205" s="231">
        <f>-AL210/AM210</f>
        <v>9.601612307892926E-06</v>
      </c>
      <c r="AO205" s="204">
        <f>AK205+AN205</f>
        <v>0.04856011808175389</v>
      </c>
      <c r="AP205" s="74">
        <f>IF(AO205&lt;0,-$H205*ABS(AO205)^1.85,$H205*ABS(AO205)^1.85)</f>
        <v>5.196487693011995</v>
      </c>
      <c r="AQ205" s="78">
        <f>1.85*ABS(AP205/AO205)</f>
        <v>197.97114611392172</v>
      </c>
      <c r="AR205" s="234">
        <f>-AP210/AQ210</f>
        <v>3.813355191868719E-06</v>
      </c>
      <c r="AS205" s="204">
        <f>AO205+AR205</f>
        <v>0.048563931436945755</v>
      </c>
      <c r="AT205" s="74">
        <f>IF(AS205&lt;0,-$H205*ABS(AS205)^1.85,$H205*ABS(AS205)^1.85)</f>
        <v>5.197242652505423</v>
      </c>
      <c r="AU205" s="78">
        <f>1.85*ABS(AT205/AS205)</f>
        <v>197.98436046346015</v>
      </c>
      <c r="AV205" s="234">
        <f>-AT210/AU210</f>
        <v>1.2712113520186484E-06</v>
      </c>
      <c r="AW205" s="238">
        <f>AS205+AV205</f>
        <v>0.04856520264829777</v>
      </c>
      <c r="AX205" s="74">
        <f>IF(AW205&lt;0,-$H205*ABS(AW205)^1.85,$H205*ABS(AW205)^1.85)</f>
        <v>5.197494335271854</v>
      </c>
      <c r="AY205" s="78">
        <f>1.85*ABS(AX205/AW205)</f>
        <v>197.9887655341628</v>
      </c>
      <c r="AZ205" s="234">
        <f>-AX210/AY210</f>
        <v>4.818038428239367E-07</v>
      </c>
      <c r="BA205" s="238">
        <f>AW205+AZ205</f>
        <v>0.048565684452140594</v>
      </c>
      <c r="BB205" s="74">
        <f>IF(BA205&lt;0,-$H205*ABS(BA205)^1.85,$H205*ABS(BA205)^1.85)</f>
        <v>5.197589727422123</v>
      </c>
      <c r="BC205" s="129">
        <f>1.85*ABS(BB205/BA205)</f>
        <v>197.99043510251838</v>
      </c>
      <c r="BD205" s="243">
        <f>-BB210/BC210</f>
        <v>1.6609158192198315E-07</v>
      </c>
    </row>
    <row r="206" spans="2:56" ht="15">
      <c r="B206" s="25"/>
      <c r="C206" s="65" t="s">
        <v>68</v>
      </c>
      <c r="D206" s="43" t="s">
        <v>71</v>
      </c>
      <c r="E206" s="68">
        <f t="shared" si="4"/>
        <v>0.2032</v>
      </c>
      <c r="F206" s="68">
        <f t="shared" si="4"/>
        <v>130</v>
      </c>
      <c r="G206" s="185">
        <f t="shared" si="4"/>
        <v>121.92</v>
      </c>
      <c r="H206" s="84">
        <f>10.626*G206/(F206^1.85*E206^4.87)</f>
        <v>373.30269667916406</v>
      </c>
      <c r="I206" s="207">
        <f>N128</f>
        <v>0.0032777313151041653</v>
      </c>
      <c r="J206" s="75">
        <f>IF(I206&lt;0,-$H206*ABS(I206)^1.85,$H206*ABS(I206)^1.85)</f>
        <v>0.009459579367352923</v>
      </c>
      <c r="K206" s="78">
        <f>1.85*ABS(J206/I206)</f>
        <v>5.339126410075122</v>
      </c>
      <c r="L206" s="216">
        <f>L205</f>
        <v>0.03927845264633919</v>
      </c>
      <c r="M206" s="203">
        <f>I206+L206</f>
        <v>0.04255618396144335</v>
      </c>
      <c r="N206" s="75">
        <f>IF(M206&lt;0,-$H206*ABS(M206)^1.85,$H206*ABS(M206)^1.85)</f>
        <v>1.0855306261567628</v>
      </c>
      <c r="O206" s="86">
        <f>1.85*ABS(N206/M206)</f>
        <v>47.19012541654355</v>
      </c>
      <c r="P206" s="216">
        <f>P205</f>
        <v>-0.0006957409618372574</v>
      </c>
      <c r="Q206" s="224">
        <f>M206+P206</f>
        <v>0.0418604429996061</v>
      </c>
      <c r="R206" s="75">
        <f>IF(Q206&lt;0,-$H206*ABS(Q206)^1.85,$H206*ABS(Q206)^1.85)</f>
        <v>1.052926835086361</v>
      </c>
      <c r="S206" s="86">
        <f>1.85*ABS(R206/Q206)</f>
        <v>46.53354110294766</v>
      </c>
      <c r="T206" s="216">
        <f>T205</f>
        <v>0.0026017496711841516</v>
      </c>
      <c r="U206" s="224">
        <f>Q206+T206</f>
        <v>0.04446219267079025</v>
      </c>
      <c r="V206" s="75">
        <f>IF(U206&lt;0,-$H206*ABS(U206)^1.85,$H206*ABS(U206)^1.85)</f>
        <v>1.1771837227601798</v>
      </c>
      <c r="W206" s="86">
        <f>1.85*ABS(V206/U206)</f>
        <v>48.980712742425034</v>
      </c>
      <c r="X206" s="216">
        <f>X205</f>
        <v>0.00045236565720422885</v>
      </c>
      <c r="Y206" s="225">
        <f>U206+X206</f>
        <v>0.04491455832799448</v>
      </c>
      <c r="Z206" s="75">
        <f>IF(Y206&lt;0,-$H206*ABS(Y206)^1.85,$H206*ABS(Y206)^1.85)</f>
        <v>1.1994366746134766</v>
      </c>
      <c r="AA206" s="86">
        <f>1.85*ABS(Z206/Y206)</f>
        <v>49.40397792249675</v>
      </c>
      <c r="AB206" s="263">
        <f>AB205</f>
        <v>0.0002572088879332841</v>
      </c>
      <c r="AC206" s="225">
        <f>Y206+AB206</f>
        <v>0.04517176721592776</v>
      </c>
      <c r="AD206" s="75">
        <f>IF(AC206&lt;0,-$H206*ABS(AC206)^1.85,$H206*ABS(AC206)^1.85)</f>
        <v>1.2121747348415624</v>
      </c>
      <c r="AE206" s="86">
        <f>1.85*ABS(AD206/AC206)</f>
        <v>49.64435526149101</v>
      </c>
      <c r="AF206" s="79">
        <f>AF205</f>
        <v>7.034122694436292E-05</v>
      </c>
      <c r="AG206" s="225">
        <f>AC206+AF206</f>
        <v>0.045242108442872124</v>
      </c>
      <c r="AH206" s="75">
        <f>IF(AG206&lt;0,-$H206*ABS(AG206)^1.85,$H206*ABS(AG206)^1.85)</f>
        <v>1.2156690905836878</v>
      </c>
      <c r="AI206" s="86">
        <f>1.85*ABS(AH206/AG206)</f>
        <v>49.710057620759486</v>
      </c>
      <c r="AJ206" s="230">
        <f>AJ205</f>
        <v>3.067671146970054E-05</v>
      </c>
      <c r="AK206" s="225">
        <f>AG206+AJ206</f>
        <v>0.04527278515434183</v>
      </c>
      <c r="AL206" s="75">
        <f>IF(AK206&lt;0,-$H206*ABS(AK206)^1.85,$H206*ABS(AK206)^1.85)</f>
        <v>1.217194471112043</v>
      </c>
      <c r="AM206" s="86">
        <f>1.85*ABS(AL206/AK206)</f>
        <v>49.73870646306643</v>
      </c>
      <c r="AN206" s="230">
        <f>AN205</f>
        <v>9.601612307892926E-06</v>
      </c>
      <c r="AO206" s="204">
        <f>AK206+AN206</f>
        <v>0.04528238676664972</v>
      </c>
      <c r="AP206" s="75">
        <f>IF(AO206&lt;0,-$H206*ABS(AO206)^1.85,$H206*ABS(AO206)^1.85)</f>
        <v>1.2176720859339136</v>
      </c>
      <c r="AQ206" s="78">
        <f>1.85*ABS(AP206/AO206)</f>
        <v>49.74767276703796</v>
      </c>
      <c r="AR206" s="234">
        <f>AR205</f>
        <v>3.813355191868719E-06</v>
      </c>
      <c r="AS206" s="204">
        <f>AO206+AR206</f>
        <v>0.045286200121841584</v>
      </c>
      <c r="AT206" s="75">
        <f>IF(AS206&lt;0,-$H206*ABS(AS206)^1.85,$H206*ABS(AS206)^1.85)</f>
        <v>1.2178617982697562</v>
      </c>
      <c r="AU206" s="78">
        <f>1.85*ABS(AT206/AS206)</f>
        <v>49.751233725445715</v>
      </c>
      <c r="AV206" s="234">
        <f>AV205</f>
        <v>1.2712113520186484E-06</v>
      </c>
      <c r="AW206" s="238">
        <f>AS206+AV206</f>
        <v>0.0452874713331936</v>
      </c>
      <c r="AX206" s="75">
        <f>IF(AW206&lt;0,-$H206*ABS(AW206)^1.85,$H206*ABS(AW206)^1.85)</f>
        <v>1.2179250433573503</v>
      </c>
      <c r="AY206" s="78">
        <f>1.85*ABS(AX206/AW206)</f>
        <v>49.75242078838781</v>
      </c>
      <c r="AZ206" s="234">
        <f>AZ205</f>
        <v>4.818038428239367E-07</v>
      </c>
      <c r="BA206" s="238">
        <f>AW206+AZ206</f>
        <v>0.04528795313703642</v>
      </c>
      <c r="BB206" s="75">
        <f>IF(BA206&lt;0,-$H206*ABS(BA206)^1.85,$H206*ABS(BA206)^1.85)</f>
        <v>1.2179490143732594</v>
      </c>
      <c r="BC206" s="129">
        <f>1.85*ABS(BB206/BA206)</f>
        <v>49.75287069770132</v>
      </c>
      <c r="BD206" s="244">
        <f>BD205</f>
        <v>1.6609158192198315E-07</v>
      </c>
    </row>
    <row r="207" spans="2:56" ht="15">
      <c r="B207" s="25"/>
      <c r="C207" s="65" t="s">
        <v>69</v>
      </c>
      <c r="D207" s="94" t="s">
        <v>72</v>
      </c>
      <c r="E207" s="68">
        <f t="shared" si="4"/>
        <v>0.2032</v>
      </c>
      <c r="F207" s="68">
        <f t="shared" si="4"/>
        <v>130</v>
      </c>
      <c r="G207" s="185">
        <f t="shared" si="4"/>
        <v>228.60000000000002</v>
      </c>
      <c r="H207" s="84">
        <f>10.626*G207/(F207^1.85*E207^4.87)</f>
        <v>699.9425562734326</v>
      </c>
      <c r="I207" s="207">
        <f>N129</f>
        <v>-0.05684276149088542</v>
      </c>
      <c r="J207" s="75">
        <f>IF(I207&lt;0,-$H207*ABS(I207)^1.85,$H207*ABS(I207)^1.85)</f>
        <v>-3.4770542015901706</v>
      </c>
      <c r="K207" s="78">
        <f>1.85*ABS(J207/I207)</f>
        <v>113.16392983428959</v>
      </c>
      <c r="L207" s="217">
        <f>L206</f>
        <v>0.03927845264633919</v>
      </c>
      <c r="M207" s="220">
        <f>I207+L207-L218</f>
        <v>-0.006983048906365816</v>
      </c>
      <c r="N207" s="75">
        <f>IF(M207&lt;0,-$H207*ABS(M207)^1.85,$H207*ABS(M207)^1.85)</f>
        <v>-0.07186969537371309</v>
      </c>
      <c r="O207" s="78">
        <f>1.85*ABS(N207/M207)</f>
        <v>19.040241336440097</v>
      </c>
      <c r="P207" s="217">
        <f>P206</f>
        <v>-0.0006957409618372574</v>
      </c>
      <c r="Q207" s="220">
        <f>M207+P207-P218</f>
        <v>-0.01696070354332834</v>
      </c>
      <c r="R207" s="75">
        <f>IF(Q207&lt;0,-$H207*ABS(Q207)^1.85,$H207*ABS(Q207)^1.85)</f>
        <v>-0.3711363960175526</v>
      </c>
      <c r="S207" s="78">
        <f>1.85*ABS(R207/Q207)</f>
        <v>40.48194881058186</v>
      </c>
      <c r="T207" s="217">
        <f>T206</f>
        <v>0.0026017496711841516</v>
      </c>
      <c r="U207" s="220">
        <f>Q207+T207-T218</f>
        <v>-0.015780459486857287</v>
      </c>
      <c r="V207" s="75">
        <f>IF(U207&lt;0,-$H207*ABS(U207)^1.85,$H207*ABS(U207)^1.85)</f>
        <v>-0.32477586026394123</v>
      </c>
      <c r="W207" s="78">
        <f>1.85*ABS(V207/U207)</f>
        <v>38.07464174213022</v>
      </c>
      <c r="X207" s="217">
        <f>X206</f>
        <v>0.00045236565720422885</v>
      </c>
      <c r="Y207" s="226">
        <f>U207+X207-X218</f>
        <v>-0.01594925843619806</v>
      </c>
      <c r="Z207" s="75">
        <f>IF(Y207&lt;0,-$H207*ABS(Y207)^1.85,$H207*ABS(Y207)^1.85)</f>
        <v>-0.3312320218111414</v>
      </c>
      <c r="AA207" s="78">
        <f>1.85*ABS(Z207/Y207)</f>
        <v>38.42054743810924</v>
      </c>
      <c r="AB207" s="264">
        <f>AB206</f>
        <v>0.0002572088879332841</v>
      </c>
      <c r="AC207" s="226">
        <f>Y207+AB207-AB218</f>
        <v>-0.01593149382218299</v>
      </c>
      <c r="AD207" s="75">
        <f>IF(AC207&lt;0,-$H207*ABS(AC207)^1.85,$H207*ABS(AC207)^1.85)</f>
        <v>-0.33054981872366834</v>
      </c>
      <c r="AE207" s="78">
        <f>1.85*ABS(AD207/AC207)</f>
        <v>38.38416983769035</v>
      </c>
      <c r="AF207" s="89">
        <f>AF206</f>
        <v>7.034122694436292E-05</v>
      </c>
      <c r="AG207" s="226">
        <f>AC207+AF207-AF218</f>
        <v>-0.015937158370062085</v>
      </c>
      <c r="AH207" s="75">
        <f>IF(AG207&lt;0,-$H207*ABS(AG207)^1.85,$H207*ABS(AG207)^1.85)</f>
        <v>-0.3307672805469593</v>
      </c>
      <c r="AI207" s="78">
        <f>1.85*ABS(AH207/AG207)</f>
        <v>38.395770111776265</v>
      </c>
      <c r="AJ207" s="231">
        <f>AJ206</f>
        <v>3.067671146970054E-05</v>
      </c>
      <c r="AK207" s="226">
        <f>AG207+AJ207-AJ218</f>
        <v>-0.015936898508681248</v>
      </c>
      <c r="AL207" s="75">
        <f>IF(AK207&lt;0,-$H207*ABS(AK207)^1.85,$H207*ABS(AK207)^1.85)</f>
        <v>-0.3307573030382621</v>
      </c>
      <c r="AM207" s="78">
        <f>1.85*ABS(AL207/AK207)</f>
        <v>38.39523796223377</v>
      </c>
      <c r="AN207" s="231">
        <f>AN206</f>
        <v>9.601612307892926E-06</v>
      </c>
      <c r="AO207" s="233">
        <f>AK207+AN207-AN218</f>
        <v>-0.015937316594476423</v>
      </c>
      <c r="AP207" s="75">
        <f>IF(AO207&lt;0,-$H207*ABS(AO207)^1.85,$H207*ABS(AO207)^1.85)</f>
        <v>-0.33077335572083216</v>
      </c>
      <c r="AQ207" s="86">
        <f>1.85*ABS(AP207/AO207)</f>
        <v>38.39609412638658</v>
      </c>
      <c r="AR207" s="235">
        <f>AR206</f>
        <v>3.813355191868719E-06</v>
      </c>
      <c r="AS207" s="233">
        <f>AO207+AR207-AR218</f>
        <v>-0.015937340742213087</v>
      </c>
      <c r="AT207" s="75">
        <f>IF(AS207&lt;0,-$H207*ABS(AS207)^1.85,$H207*ABS(AS207)^1.85)</f>
        <v>-0.33077428290019883</v>
      </c>
      <c r="AU207" s="86">
        <f>1.85*ABS(AT207/AS207)</f>
        <v>38.396143576484384</v>
      </c>
      <c r="AV207" s="235">
        <f>AV206</f>
        <v>1.2712113520186484E-06</v>
      </c>
      <c r="AW207" s="239">
        <f>AS207+AV207-AV218</f>
        <v>-0.015937381716206633</v>
      </c>
      <c r="AX207" s="75">
        <f>IF(AW207&lt;0,-$H207*ABS(AW207)^1.85,$H207*ABS(AW207)^1.85)</f>
        <v>-0.33077585614525673</v>
      </c>
      <c r="AY207" s="86">
        <f>1.85*ABS(AX207/AW207)</f>
        <v>38.396227483618055</v>
      </c>
      <c r="AZ207" s="235">
        <f>AZ206</f>
        <v>4.818038428239367E-07</v>
      </c>
      <c r="BA207" s="239">
        <f>AW207+AZ207-AZ218</f>
        <v>-0.015937387962695216</v>
      </c>
      <c r="BB207" s="75">
        <f>IF(BA207&lt;0,-$H207*ABS(BA207)^1.85,$H207*ABS(BA207)^1.85)</f>
        <v>-0.33077609598689345</v>
      </c>
      <c r="BC207" s="86">
        <f>1.85*ABS(BB207/BA207)</f>
        <v>38.39624027526445</v>
      </c>
      <c r="BD207" s="243">
        <f>BD206</f>
        <v>1.6609158192198315E-07</v>
      </c>
    </row>
    <row r="208" spans="2:56" ht="15">
      <c r="B208" s="25"/>
      <c r="C208" s="65"/>
      <c r="D208" s="96" t="s">
        <v>73</v>
      </c>
      <c r="E208" s="68">
        <f t="shared" si="4"/>
        <v>0.2032</v>
      </c>
      <c r="F208" s="68">
        <f t="shared" si="4"/>
        <v>130</v>
      </c>
      <c r="G208" s="185">
        <f t="shared" si="4"/>
        <v>228.60000000000002</v>
      </c>
      <c r="H208" s="84">
        <f>10.626*G208/(F208^1.85*E208^4.87)</f>
        <v>699.9425562734326</v>
      </c>
      <c r="I208" s="207">
        <f>N130</f>
        <v>-0.06095382613932292</v>
      </c>
      <c r="J208" s="75">
        <f>IF(I208&lt;0,-$H208*ABS(I208)^1.85,$H208*ABS(I208)^1.85)</f>
        <v>-3.956527579628123</v>
      </c>
      <c r="K208" s="78">
        <f>1.85*ABS(J208/I208)</f>
        <v>120.08394691387515</v>
      </c>
      <c r="L208" s="217">
        <f>L207</f>
        <v>0.03927845264633919</v>
      </c>
      <c r="M208" s="221">
        <f>I208+L208-L212</f>
        <v>-0.03305562080808951</v>
      </c>
      <c r="N208" s="75">
        <f>IF(M208&lt;0,-$H208*ABS(M208)^1.85,$H208*ABS(M208)^1.85)</f>
        <v>-1.2754582211579393</v>
      </c>
      <c r="O208" s="78">
        <f>1.85*ABS(N208/M208)</f>
        <v>71.38264692837767</v>
      </c>
      <c r="P208" s="217">
        <f>P207</f>
        <v>-0.0006957409618372574</v>
      </c>
      <c r="Q208" s="221">
        <f>M208+P208-P212</f>
        <v>-0.04457985618219281</v>
      </c>
      <c r="R208" s="75">
        <f>IF(Q208&lt;0,-$H208*ABS(Q208)^1.85,$H208*ABS(Q208)^1.85)</f>
        <v>-2.218037712228088</v>
      </c>
      <c r="S208" s="78">
        <f>1.85*ABS(R208/Q208)</f>
        <v>92.04537921459317</v>
      </c>
      <c r="T208" s="217">
        <f>T207</f>
        <v>0.0026017496711841516</v>
      </c>
      <c r="U208" s="221">
        <f>Q208+T208-T212</f>
        <v>-0.04371416050554153</v>
      </c>
      <c r="V208" s="75">
        <f>IF(U208&lt;0,-$H208*ABS(U208)^1.85,$H208*ABS(U208)^1.85)</f>
        <v>-2.1390126992326706</v>
      </c>
      <c r="W208" s="78">
        <f>1.85*ABS(V208/U208)</f>
        <v>90.52383593363987</v>
      </c>
      <c r="X208" s="217">
        <f>X207</f>
        <v>0.00045236565720422885</v>
      </c>
      <c r="Y208" s="227">
        <f>U208+X208-X212</f>
        <v>-0.044311177843013416</v>
      </c>
      <c r="Z208" s="75">
        <f>IF(Y208&lt;0,-$H208*ABS(Y208)^1.85,$H208*ABS(Y208)^1.85)</f>
        <v>-2.1933704774961993</v>
      </c>
      <c r="AA208" s="78">
        <f>1.85*ABS(Z208/Y208)</f>
        <v>91.57362951948151</v>
      </c>
      <c r="AB208" s="264">
        <f>AB207</f>
        <v>0.0002572088879332841</v>
      </c>
      <c r="AC208" s="227">
        <f>Y208+AB208-AB212</f>
        <v>-0.04430972110684382</v>
      </c>
      <c r="AD208" s="75">
        <f>IF(AC208&lt;0,-$H208*ABS(AC208)^1.85,$H208*ABS(AC208)^1.85)</f>
        <v>-2.1932370807417363</v>
      </c>
      <c r="AE208" s="78">
        <f>1.85*ABS(AD208/AC208)</f>
        <v>91.57107059167467</v>
      </c>
      <c r="AF208" s="89">
        <f>AF207</f>
        <v>7.034122694436292E-05</v>
      </c>
      <c r="AG208" s="227">
        <f>AC208+AF208-AF212</f>
        <v>-0.04436250293641854</v>
      </c>
      <c r="AH208" s="75">
        <f>IF(AG208&lt;0,-$H208*ABS(AG208)^1.85,$H208*ABS(AG208)^1.85)</f>
        <v>-2.198072816142863</v>
      </c>
      <c r="AI208" s="78">
        <f>1.85*ABS(AH208/AG208)</f>
        <v>91.6637800101679</v>
      </c>
      <c r="AJ208" s="231">
        <f>AJ207</f>
        <v>3.067671146970054E-05</v>
      </c>
      <c r="AK208" s="227">
        <f>AG208+AJ208-AJ212</f>
        <v>-0.04436755357182159</v>
      </c>
      <c r="AL208" s="75">
        <f>IF(AK208&lt;0,-$H208*ABS(AK208)^1.85,$H208*ABS(AK208)^1.85)</f>
        <v>-2.19853579887599</v>
      </c>
      <c r="AM208" s="78">
        <f>1.85*ABS(AL208/AK208)</f>
        <v>91.67265040513236</v>
      </c>
      <c r="AN208" s="231">
        <f>AN207</f>
        <v>9.601612307892926E-06</v>
      </c>
      <c r="AO208" s="227">
        <f>AK208+AN208-AN212</f>
        <v>-0.04437299929908733</v>
      </c>
      <c r="AP208" s="75">
        <f>IF(AO208&lt;0,-$H208*ABS(AO208)^1.85,$H208*ABS(AO208)^1.85)</f>
        <v>-2.1990350491697046</v>
      </c>
      <c r="AQ208" s="78">
        <f>1.85*ABS(AP208/AO208)</f>
        <v>91.68221452741938</v>
      </c>
      <c r="AR208" s="234">
        <f>AR207</f>
        <v>3.813355191868719E-06</v>
      </c>
      <c r="AS208" s="227">
        <f>AO208+AR208-AR212</f>
        <v>-0.044373993229273156</v>
      </c>
      <c r="AT208" s="75">
        <f>IF(AS208&lt;0,-$H208*ABS(AS208)^1.85,$H208*ABS(AS208)^1.85)</f>
        <v>-2.1991261757577196</v>
      </c>
      <c r="AU208" s="78">
        <f>1.85*ABS(AT208/AS208)</f>
        <v>91.68396010994796</v>
      </c>
      <c r="AV208" s="234">
        <f>AV207</f>
        <v>1.2712113520186484E-06</v>
      </c>
      <c r="AW208" s="240">
        <f>AS208+AV208-AV212</f>
        <v>-0.04437460353586213</v>
      </c>
      <c r="AX208" s="75">
        <f>IF(AW208&lt;0,-$H208*ABS(AW208)^1.85,$H208*ABS(AW208)^1.85)</f>
        <v>-2.1991821314097555</v>
      </c>
      <c r="AY208" s="78">
        <f>1.85*ABS(AX208/AW208)</f>
        <v>91.68503195346922</v>
      </c>
      <c r="AZ208" s="234">
        <f>AZ207</f>
        <v>4.818038428239367E-07</v>
      </c>
      <c r="BA208" s="240">
        <f>AW208+AZ208-AZ212</f>
        <v>-0.044374755383844514</v>
      </c>
      <c r="BB208" s="75">
        <f>IF(BA208&lt;0,-$H208*ABS(BA208)^1.85,$H208*ABS(BA208)^1.85)</f>
        <v>-2.1991960536171202</v>
      </c>
      <c r="BC208" s="78">
        <f>1.85*ABS(BB208/BA208)</f>
        <v>91.68529863429723</v>
      </c>
      <c r="BD208" s="243">
        <f>BD207</f>
        <v>1.6609158192198315E-07</v>
      </c>
    </row>
    <row r="209" spans="2:56" ht="15">
      <c r="B209" s="25"/>
      <c r="C209" s="65"/>
      <c r="D209" s="43" t="s">
        <v>74</v>
      </c>
      <c r="E209" s="68">
        <f t="shared" si="4"/>
        <v>0.2032</v>
      </c>
      <c r="F209" s="68">
        <f t="shared" si="4"/>
        <v>130</v>
      </c>
      <c r="G209" s="185">
        <f t="shared" si="4"/>
        <v>121.92</v>
      </c>
      <c r="H209" s="84">
        <f>10.626*G209/(F209^1.85*E209^4.87)</f>
        <v>373.30269667916406</v>
      </c>
      <c r="I209" s="207">
        <f>N131</f>
        <v>-0.1267964482421875</v>
      </c>
      <c r="J209" s="75">
        <f>IF(I209&lt;0,-$H209*ABS(I209)^1.85,$H209*ABS(I209)^1.85)</f>
        <v>-8.181053653696473</v>
      </c>
      <c r="K209" s="78">
        <f>1.85*ABS(J209/I209)</f>
        <v>119.36414204938907</v>
      </c>
      <c r="L209" s="217">
        <f>L208</f>
        <v>0.03927845264633919</v>
      </c>
      <c r="M209" s="203">
        <f>I209+L209</f>
        <v>-0.0875179955958483</v>
      </c>
      <c r="N209" s="75">
        <f>IF(M209&lt;0,-$H209*ABS(M209)^1.85,$H209*ABS(M209)^1.85)</f>
        <v>-4.12041773653769</v>
      </c>
      <c r="O209" s="78">
        <f>1.85*ABS(N209/M209)</f>
        <v>87.09949034706112</v>
      </c>
      <c r="P209" s="217">
        <f>P208</f>
        <v>-0.0006957409618372574</v>
      </c>
      <c r="Q209" s="203">
        <f>M209+P209</f>
        <v>-0.08821373655768557</v>
      </c>
      <c r="R209" s="75">
        <f>IF(Q209&lt;0,-$H209*ABS(Q209)^1.85,$H209*ABS(Q209)^1.85)</f>
        <v>-4.181221078356765</v>
      </c>
      <c r="S209" s="78">
        <f>1.85*ABS(R209/Q209)</f>
        <v>87.68769237999234</v>
      </c>
      <c r="T209" s="217">
        <f>T208</f>
        <v>0.0026017496711841516</v>
      </c>
      <c r="U209" s="203">
        <f>Q209+T209</f>
        <v>-0.08561198688650141</v>
      </c>
      <c r="V209" s="75">
        <f>IF(U209&lt;0,-$H209*ABS(U209)^1.85,$H209*ABS(U209)^1.85)</f>
        <v>-3.955943619408573</v>
      </c>
      <c r="W209" s="78">
        <f>1.85*ABS(V209/U209)</f>
        <v>85.48447433661627</v>
      </c>
      <c r="X209" s="217">
        <f>X208</f>
        <v>0.00045236565720422885</v>
      </c>
      <c r="Y209" s="204">
        <f>U209+X209</f>
        <v>-0.08515962122929718</v>
      </c>
      <c r="Z209" s="75">
        <f>IF(Y209&lt;0,-$H209*ABS(Y209)^1.85,$H209*ABS(Y209)^1.85)</f>
        <v>-3.917360242179735</v>
      </c>
      <c r="AA209" s="78">
        <f>1.85*ABS(Z209/Y209)</f>
        <v>85.10038376661201</v>
      </c>
      <c r="AB209" s="264">
        <f>AB208</f>
        <v>0.0002572088879332841</v>
      </c>
      <c r="AC209" s="204">
        <f>Y209+AB209</f>
        <v>-0.0849024123413639</v>
      </c>
      <c r="AD209" s="75">
        <f>IF(AC209&lt;0,-$H209*ABS(AC209)^1.85,$H209*ABS(AC209)^1.85)</f>
        <v>-3.89549976827235</v>
      </c>
      <c r="AE209" s="78">
        <f>1.85*ABS(AD209/AC209)</f>
        <v>84.88185874305013</v>
      </c>
      <c r="AF209" s="89">
        <f>AF208</f>
        <v>7.034122694436292E-05</v>
      </c>
      <c r="AG209" s="204">
        <f>AC209+AF209</f>
        <v>-0.08483207111441954</v>
      </c>
      <c r="AH209" s="75">
        <f>IF(AG209&lt;0,-$H209*ABS(AG209)^1.85,$H209*ABS(AG209)^1.85)</f>
        <v>-3.8895311766135725</v>
      </c>
      <c r="AI209" s="78">
        <f>1.85*ABS(AH209/AG209)</f>
        <v>84.82207945895611</v>
      </c>
      <c r="AJ209" s="231">
        <f>AJ208</f>
        <v>3.067671146970054E-05</v>
      </c>
      <c r="AK209" s="204">
        <f>AG209+AJ209</f>
        <v>-0.08480139440294984</v>
      </c>
      <c r="AL209" s="75">
        <f>IF(AK209&lt;0,-$H209*ABS(AK209)^1.85,$H209*ABS(AK209)^1.85)</f>
        <v>-3.886929514066641</v>
      </c>
      <c r="AM209" s="78">
        <f>1.85*ABS(AL209/AK209)</f>
        <v>84.79600661817834</v>
      </c>
      <c r="AN209" s="231">
        <f>AN208</f>
        <v>9.601612307892926E-06</v>
      </c>
      <c r="AO209" s="204">
        <f>AK209+AN209</f>
        <v>-0.08479179279064195</v>
      </c>
      <c r="AP209" s="75">
        <f>IF(AO209&lt;0,-$H209*ABS(AO209)^1.85,$H209*ABS(AO209)^1.85)</f>
        <v>-3.8861153748647252</v>
      </c>
      <c r="AQ209" s="78">
        <f>1.85*ABS(AP209/AO209)</f>
        <v>84.78784569693863</v>
      </c>
      <c r="AR209" s="234">
        <f>AR208</f>
        <v>3.813355191868719E-06</v>
      </c>
      <c r="AS209" s="204">
        <f>AO209+AR209</f>
        <v>-0.08478797943545008</v>
      </c>
      <c r="AT209" s="75">
        <f>IF(AS209&lt;0,-$H209*ABS(AS209)^1.85,$H209*ABS(AS209)^1.85)</f>
        <v>-3.8857920548730682</v>
      </c>
      <c r="AU209" s="78">
        <f>1.85*ABS(AT209/AS209)</f>
        <v>84.78460448497911</v>
      </c>
      <c r="AV209" s="234">
        <f>AV208</f>
        <v>1.2712113520186484E-06</v>
      </c>
      <c r="AW209" s="238">
        <f>AS209+AV209</f>
        <v>-0.08478670822409806</v>
      </c>
      <c r="AX209" s="75">
        <f>IF(AW209&lt;0,-$H209*ABS(AW209)^1.85,$H209*ABS(AW209)^1.85)</f>
        <v>-3.885684276408134</v>
      </c>
      <c r="AY209" s="78">
        <f>1.85*ABS(AX209/AW209)</f>
        <v>84.78352399712493</v>
      </c>
      <c r="AZ209" s="234">
        <f>AZ208</f>
        <v>4.818038428239367E-07</v>
      </c>
      <c r="BA209" s="238">
        <f>AW209+AZ209</f>
        <v>-0.08478622642025524</v>
      </c>
      <c r="BB209" s="75">
        <f>IF(BA209&lt;0,-$H209*ABS(BA209)^1.85,$H209*ABS(BA209)^1.85)</f>
        <v>-3.88564342747912</v>
      </c>
      <c r="BC209" s="78">
        <f>1.85*ABS(BB209/BA209)</f>
        <v>84.78311447906437</v>
      </c>
      <c r="BD209" s="243">
        <f>BD208</f>
        <v>1.6609158192198315E-07</v>
      </c>
    </row>
    <row r="210" spans="2:56" ht="15">
      <c r="B210" s="25"/>
      <c r="C210" s="65"/>
      <c r="D210" s="11"/>
      <c r="E210" s="48"/>
      <c r="F210" s="48"/>
      <c r="G210" s="48"/>
      <c r="H210" s="69"/>
      <c r="I210" s="129" t="s">
        <v>104</v>
      </c>
      <c r="J210" s="74">
        <f>SUM(J205:J209)</f>
        <v>-15.477294101333454</v>
      </c>
      <c r="K210" s="74">
        <f>SUM(K205:K209)</f>
        <v>394.04032131026327</v>
      </c>
      <c r="L210" s="218"/>
      <c r="M210" s="203" t="s">
        <v>104</v>
      </c>
      <c r="N210" s="74">
        <f>SUM(N205:N209)</f>
        <v>0.2874772945674886</v>
      </c>
      <c r="O210" s="74">
        <f>SUM(O205:O209)</f>
        <v>413.19587366013553</v>
      </c>
      <c r="P210" s="222"/>
      <c r="Q210" s="203" t="s">
        <v>104</v>
      </c>
      <c r="R210" s="74">
        <f>SUM(R205:R209)</f>
        <v>-1.1780649863988417</v>
      </c>
      <c r="S210" s="74">
        <f>SUM(S205:S209)</f>
        <v>452.797207758524</v>
      </c>
      <c r="T210" s="222"/>
      <c r="U210" s="203" t="s">
        <v>104</v>
      </c>
      <c r="V210" s="74">
        <f>SUM(V205:V209)</f>
        <v>-0.20726895302771675</v>
      </c>
      <c r="W210" s="74">
        <f>SUM(W205:W209)</f>
        <v>458.1889666618555</v>
      </c>
      <c r="X210" s="222"/>
      <c r="Y210" s="204" t="s">
        <v>104</v>
      </c>
      <c r="Z210" s="74">
        <f>SUM(Z205:Z209)</f>
        <v>-0.11862327865747435</v>
      </c>
      <c r="AA210" s="74">
        <f>SUM(AA205:AA209)</f>
        <v>461.19432190167294</v>
      </c>
      <c r="AB210" s="262"/>
      <c r="AC210" s="204" t="s">
        <v>104</v>
      </c>
      <c r="AD210" s="74">
        <f>SUM(AD205:AD209)</f>
        <v>-0.03250251480226707</v>
      </c>
      <c r="AE210" s="74">
        <f>SUM(AE205:AE209)</f>
        <v>462.0692048487476</v>
      </c>
      <c r="AF210" s="93"/>
      <c r="AG210" s="204" t="s">
        <v>104</v>
      </c>
      <c r="AH210" s="74">
        <f>SUM(AH205:AH209)</f>
        <v>-0.014185624558049614</v>
      </c>
      <c r="AI210" s="74">
        <f>SUM(AI205:AI209)</f>
        <v>462.4232480740574</v>
      </c>
      <c r="AJ210" s="228"/>
      <c r="AK210" s="204" t="s">
        <v>104</v>
      </c>
      <c r="AL210" s="74">
        <f>SUM(AL205:AL209)</f>
        <v>-0.004441134313652562</v>
      </c>
      <c r="AM210" s="74">
        <f>SUM(AM205:AM209)</f>
        <v>462.54047458277023</v>
      </c>
      <c r="AN210" s="228"/>
      <c r="AO210" s="204" t="s">
        <v>104</v>
      </c>
      <c r="AP210" s="74">
        <f>SUM(AP205:AP209)</f>
        <v>-0.001764000809353572</v>
      </c>
      <c r="AQ210" s="74">
        <f>SUM(AQ205:AQ209)</f>
        <v>462.5849732317043</v>
      </c>
      <c r="AR210" s="236"/>
      <c r="AS210" s="204" t="s">
        <v>104</v>
      </c>
      <c r="AT210" s="74">
        <f>SUM(AT205:AT209)</f>
        <v>-0.0005880627558076945</v>
      </c>
      <c r="AU210" s="74">
        <f>SUM(AU205:AU209)</f>
        <v>462.60030236031736</v>
      </c>
      <c r="AV210" s="236"/>
      <c r="AW210" s="238" t="s">
        <v>104</v>
      </c>
      <c r="AX210" s="74">
        <f>SUM(AX205:AX209)</f>
        <v>-0.0002228853339421022</v>
      </c>
      <c r="AY210" s="74">
        <f>SUM(AY205:AY209)</f>
        <v>462.6059697567628</v>
      </c>
      <c r="AZ210" s="236"/>
      <c r="BA210" s="238" t="s">
        <v>104</v>
      </c>
      <c r="BB210" s="74">
        <f>SUM(BB205:BB209)</f>
        <v>-7.68352877513756E-05</v>
      </c>
      <c r="BC210" s="74">
        <f>SUM(BC205:BC209)</f>
        <v>462.6079591888457</v>
      </c>
      <c r="BD210" s="245"/>
    </row>
    <row r="211" spans="2:56" ht="15">
      <c r="B211" s="25"/>
      <c r="C211" s="65"/>
      <c r="D211" s="11"/>
      <c r="E211" s="48"/>
      <c r="F211" s="48"/>
      <c r="G211" s="48"/>
      <c r="H211" s="69"/>
      <c r="I211" s="129"/>
      <c r="J211" s="74"/>
      <c r="K211" s="74"/>
      <c r="L211" s="218"/>
      <c r="M211" s="222"/>
      <c r="N211" s="93"/>
      <c r="O211" s="93"/>
      <c r="P211" s="222"/>
      <c r="Q211" s="222"/>
      <c r="R211" s="93"/>
      <c r="S211" s="93"/>
      <c r="T211" s="222"/>
      <c r="U211" s="222"/>
      <c r="V211" s="93"/>
      <c r="W211" s="93"/>
      <c r="X211" s="222"/>
      <c r="Y211" s="228"/>
      <c r="Z211" s="93"/>
      <c r="AA211" s="93"/>
      <c r="AB211" s="262"/>
      <c r="AC211" s="228"/>
      <c r="AD211" s="93"/>
      <c r="AE211" s="93"/>
      <c r="AF211" s="93"/>
      <c r="AG211" s="228"/>
      <c r="AH211" s="93"/>
      <c r="AI211" s="93"/>
      <c r="AJ211" s="228"/>
      <c r="AK211" s="228"/>
      <c r="AL211" s="93"/>
      <c r="AM211" s="93"/>
      <c r="AN211" s="228"/>
      <c r="AO211" s="228"/>
      <c r="AP211" s="93"/>
      <c r="AQ211" s="93"/>
      <c r="AR211" s="236"/>
      <c r="AS211" s="228"/>
      <c r="AT211" s="93"/>
      <c r="AU211" s="93"/>
      <c r="AV211" s="236"/>
      <c r="AW211" s="236"/>
      <c r="AX211" s="93"/>
      <c r="AY211" s="93"/>
      <c r="AZ211" s="236"/>
      <c r="BA211" s="236"/>
      <c r="BB211" s="93"/>
      <c r="BC211" s="93"/>
      <c r="BD211" s="245"/>
    </row>
    <row r="212" spans="2:56" ht="15">
      <c r="B212" s="25"/>
      <c r="C212" s="25"/>
      <c r="D212" s="96" t="s">
        <v>78</v>
      </c>
      <c r="E212" s="68">
        <f aca="true" t="shared" si="5" ref="E212:G215">J133</f>
        <v>0.2032</v>
      </c>
      <c r="F212" s="68">
        <f t="shared" si="5"/>
        <v>130</v>
      </c>
      <c r="G212" s="185">
        <f t="shared" si="5"/>
        <v>228.60000000000002</v>
      </c>
      <c r="H212" s="271">
        <f>10.626*G212/(F212^1.85*E212^4.87)</f>
        <v>699.9425562734326</v>
      </c>
      <c r="I212" s="270">
        <f>N133</f>
        <v>0.06095382613932292</v>
      </c>
      <c r="J212" s="75">
        <f>IF(I212&lt;0,-$H212*ABS(I212)^1.85,$H212*ABS(I212)^1.85)</f>
        <v>3.956527579628123</v>
      </c>
      <c r="K212" s="78">
        <f>1.85*ABS(J212/I212)</f>
        <v>120.08394691387515</v>
      </c>
      <c r="L212" s="217">
        <f>-J216/K216</f>
        <v>0.011380247315105783</v>
      </c>
      <c r="M212" s="221">
        <f>I212+L212-L208</f>
        <v>0.03305562080808951</v>
      </c>
      <c r="N212" s="75">
        <f>IF(M212&lt;0,-$H212*ABS(M212)^1.85,$H212*ABS(M212)^1.85)</f>
        <v>1.2754582211579393</v>
      </c>
      <c r="O212" s="78">
        <f>1.85*ABS(N212/M212)</f>
        <v>71.38264692837767</v>
      </c>
      <c r="P212" s="217">
        <f>-N216/O216</f>
        <v>0.010828494412266043</v>
      </c>
      <c r="Q212" s="221">
        <f>M212+P212-P208</f>
        <v>0.04457985618219281</v>
      </c>
      <c r="R212" s="75">
        <f>IF(Q212&lt;0,-$H212*ABS(Q212)^1.85,$H212*ABS(Q212)^1.85)</f>
        <v>2.218037712228088</v>
      </c>
      <c r="S212" s="78">
        <f>1.85*ABS(R212/Q212)</f>
        <v>92.04537921459317</v>
      </c>
      <c r="T212" s="217">
        <f>-R216/S216</f>
        <v>0.001736053994532865</v>
      </c>
      <c r="U212" s="221">
        <f>Q212+T212-T208</f>
        <v>0.04371416050554153</v>
      </c>
      <c r="V212" s="75">
        <f>IF(U212&lt;0,-$H212*ABS(U212)^1.85,$H212*ABS(U212)^1.85)</f>
        <v>2.1390126992326706</v>
      </c>
      <c r="W212" s="78">
        <f>1.85*ABS(V212/U212)</f>
        <v>90.52383593363987</v>
      </c>
      <c r="X212" s="217">
        <f>-V216/W216</f>
        <v>0.001049382994676124</v>
      </c>
      <c r="Y212" s="227">
        <f>U212+X212-X208</f>
        <v>0.044311177843013416</v>
      </c>
      <c r="Z212" s="75">
        <f>IF(Y212&lt;0,-$H212*ABS(Y212)^1.85,$H212*ABS(Y212)^1.85)</f>
        <v>2.1933704774961993</v>
      </c>
      <c r="AA212" s="78">
        <f>1.85*ABS(Z212/Y212)</f>
        <v>91.57362951948151</v>
      </c>
      <c r="AB212" s="264">
        <f>-Z216/AA216</f>
        <v>0.0002557521517636879</v>
      </c>
      <c r="AC212" s="227">
        <f>Y212+AB212-AB208</f>
        <v>0.04430972110684382</v>
      </c>
      <c r="AD212" s="75">
        <f>IF(AC212&lt;0,-$H212*ABS(AC212)^1.85,$H212*ABS(AC212)^1.85)</f>
        <v>2.1932370807417363</v>
      </c>
      <c r="AE212" s="78">
        <f>1.85*ABS(AD212/AC212)</f>
        <v>91.57107059167467</v>
      </c>
      <c r="AF212" s="89">
        <f>-AD216/AE216</f>
        <v>0.00012312305651907988</v>
      </c>
      <c r="AG212" s="227">
        <f>AC212+AF212-AF208</f>
        <v>0.04436250293641854</v>
      </c>
      <c r="AH212" s="75">
        <f>IF(AG212&lt;0,-$H212*ABS(AG212)^1.85,$H212*ABS(AG212)^1.85)</f>
        <v>2.198072816142863</v>
      </c>
      <c r="AI212" s="78">
        <f>1.85*ABS(AH212/AG212)</f>
        <v>91.6637800101679</v>
      </c>
      <c r="AJ212" s="231">
        <f>-AH216/AI216</f>
        <v>3.5727346872751726E-05</v>
      </c>
      <c r="AK212" s="227">
        <f>AG212+AJ212-AJ208</f>
        <v>0.04436755357182159</v>
      </c>
      <c r="AL212" s="75">
        <f>IF(AK212&lt;0,-$H212*ABS(AK212)^1.85,$H212*ABS(AK212)^1.85)</f>
        <v>2.19853579887599</v>
      </c>
      <c r="AM212" s="78">
        <f>1.85*ABS(AL212/AK212)</f>
        <v>91.67265040513236</v>
      </c>
      <c r="AN212" s="231">
        <f>-AL216/AM216</f>
        <v>1.5047339573627316E-05</v>
      </c>
      <c r="AO212" s="227">
        <f>AK212+AN212-AN208</f>
        <v>0.04437299929908733</v>
      </c>
      <c r="AP212" s="75">
        <f>IF(AO212&lt;0,-$H212*ABS(AO212)^1.85,$H212*ABS(AO212)^1.85)</f>
        <v>2.1990350491697046</v>
      </c>
      <c r="AQ212" s="78">
        <f>1.85*ABS(AP212/AO212)</f>
        <v>91.68221452741938</v>
      </c>
      <c r="AR212" s="234">
        <f>-AP216/AQ216</f>
        <v>4.807285377696434E-06</v>
      </c>
      <c r="AS212" s="227">
        <f>AO212+AR212-AR208</f>
        <v>0.044373993229273156</v>
      </c>
      <c r="AT212" s="75">
        <f>IF(AS212&lt;0,-$H212*ABS(AS212)^1.85,$H212*ABS(AS212)^1.85)</f>
        <v>2.1991261757577196</v>
      </c>
      <c r="AU212" s="78">
        <f>1.85*ABS(AT212/AS212)</f>
        <v>91.68396010994796</v>
      </c>
      <c r="AV212" s="234">
        <f>-AT216/AU216</f>
        <v>1.8815179409884313E-06</v>
      </c>
      <c r="AW212" s="240">
        <f>AS212+AV212-AV208</f>
        <v>0.04437460353586213</v>
      </c>
      <c r="AX212" s="75">
        <f>IF(AW212&lt;0,-$H212*ABS(AW212)^1.85,$H212*ABS(AW212)^1.85)</f>
        <v>2.1991821314097555</v>
      </c>
      <c r="AY212" s="78">
        <f>1.85*ABS(AX212/AW212)</f>
        <v>91.68503195346922</v>
      </c>
      <c r="AZ212" s="234">
        <f>-AX216/AY216</f>
        <v>6.336518252029038E-07</v>
      </c>
      <c r="BA212" s="240">
        <f>AW212+AZ212-AZ208</f>
        <v>0.044374755383844514</v>
      </c>
      <c r="BB212" s="75">
        <f>IF(BA212&lt;0,-$H212*ABS(BA212)^1.85,$H212*ABS(BA212)^1.85)</f>
        <v>2.1991960536171202</v>
      </c>
      <c r="BC212" s="78">
        <f>1.85*ABS(BB212/BA212)</f>
        <v>91.68529863429723</v>
      </c>
      <c r="BD212" s="243">
        <f>-BB216/BC216</f>
        <v>2.3834727422826725E-07</v>
      </c>
    </row>
    <row r="213" spans="2:56" ht="15">
      <c r="B213" s="25"/>
      <c r="C213" s="65" t="s">
        <v>68</v>
      </c>
      <c r="D213" s="95" t="s">
        <v>79</v>
      </c>
      <c r="E213" s="68">
        <f t="shared" si="5"/>
        <v>0.2032</v>
      </c>
      <c r="F213" s="68">
        <f t="shared" si="5"/>
        <v>130</v>
      </c>
      <c r="G213" s="185">
        <f t="shared" si="5"/>
        <v>243.84</v>
      </c>
      <c r="H213" s="84">
        <f>10.626*G213/(F213^1.85*E213^4.87)</f>
        <v>746.6053933583281</v>
      </c>
      <c r="I213" s="207">
        <f>N134</f>
        <v>0.0008333333333333334</v>
      </c>
      <c r="J213" s="75">
        <f>IF(I213&lt;0,-$H213*ABS(I213)^1.85,$H213*ABS(I213)^1.85)</f>
        <v>0.001501778275808949</v>
      </c>
      <c r="K213" s="78">
        <f>1.85*ABS(J213/I213)</f>
        <v>3.3339477722958666</v>
      </c>
      <c r="L213" s="217">
        <f>L212</f>
        <v>0.011380247315105783</v>
      </c>
      <c r="M213" s="223">
        <f>I213+L213-L221</f>
        <v>0.022794840586619534</v>
      </c>
      <c r="N213" s="75">
        <f>IF(M213&lt;0,-$H213*ABS(M213)^1.85,$H213*ABS(M213)^1.85)</f>
        <v>0.6840514340351147</v>
      </c>
      <c r="O213" s="78">
        <f>1.85*ABS(N213/M213)</f>
        <v>55.51673626126615</v>
      </c>
      <c r="P213" s="217">
        <f>P212</f>
        <v>0.010828494412266043</v>
      </c>
      <c r="Q213" s="223">
        <f>M213+P213-P221</f>
        <v>0.02434142132376031</v>
      </c>
      <c r="R213" s="75">
        <f>IF(Q213&lt;0,-$H213*ABS(Q213)^1.85,$H213*ABS(Q213)^1.85)</f>
        <v>0.772380142961711</v>
      </c>
      <c r="S213" s="78">
        <f>1.85*ABS(R213/Q213)</f>
        <v>58.702540228592774</v>
      </c>
      <c r="T213" s="217">
        <f>T212</f>
        <v>0.001736053994532865</v>
      </c>
      <c r="U213" s="223">
        <f>Q213+T213-T221</f>
        <v>0.024655969703580072</v>
      </c>
      <c r="V213" s="75">
        <f>IF(U213&lt;0,-$H213*ABS(U213)^1.85,$H213*ABS(U213)^1.85)</f>
        <v>0.7909462752043005</v>
      </c>
      <c r="W213" s="78">
        <f>1.85*ABS(V213/U213)</f>
        <v>59.346706972773845</v>
      </c>
      <c r="X213" s="217">
        <f>X212</f>
        <v>0.001049382994676124</v>
      </c>
      <c r="Y213" s="229">
        <f>U213+X213-X221</f>
        <v>0.025084188091711195</v>
      </c>
      <c r="Z213" s="75">
        <f>IF(Y213&lt;0,-$H213*ABS(Y213)^1.85,$H213*ABS(Y213)^1.85)</f>
        <v>0.8165470475835479</v>
      </c>
      <c r="AA213" s="78">
        <f>1.85*ABS(Z213/Y213)</f>
        <v>60.2216835763853</v>
      </c>
      <c r="AB213" s="264">
        <f>AB212</f>
        <v>0.0002557521517636879</v>
      </c>
      <c r="AC213" s="229">
        <f>Y213+AB213-AB221</f>
        <v>0.025100495969556668</v>
      </c>
      <c r="AD213" s="75">
        <f>IF(AC213&lt;0,-$H213*ABS(AC213)^1.85,$H213*ABS(AC213)^1.85)</f>
        <v>0.8175294067884197</v>
      </c>
      <c r="AE213" s="78">
        <f>1.85*ABS(AD213/AC213)</f>
        <v>60.2549608737986</v>
      </c>
      <c r="AF213" s="89">
        <f>AF212</f>
        <v>0.00012312305651907988</v>
      </c>
      <c r="AG213" s="229">
        <f>AC213+AF213-AF221</f>
        <v>0.02514761325125229</v>
      </c>
      <c r="AH213" s="75">
        <f>IF(AG213&lt;0,-$H213*ABS(AG213)^1.85,$H213*ABS(AG213)^1.85)</f>
        <v>0.8203707214976291</v>
      </c>
      <c r="AI213" s="78">
        <f>1.85*ABS(AH213/AG213)</f>
        <v>60.35108857477904</v>
      </c>
      <c r="AJ213" s="231">
        <f>AJ212</f>
        <v>3.5727346872751726E-05</v>
      </c>
      <c r="AK213" s="229">
        <f>AG213+AJ213-AJ221</f>
        <v>0.02515292374803618</v>
      </c>
      <c r="AL213" s="75">
        <f>IF(AK213&lt;0,-$H213*ABS(AK213)^1.85,$H213*ABS(AK213)^1.85)</f>
        <v>0.8206912445229921</v>
      </c>
      <c r="AM213" s="78">
        <f>1.85*ABS(AL213/AK213)</f>
        <v>60.36192124528169</v>
      </c>
      <c r="AN213" s="231">
        <f>AN212</f>
        <v>1.5047339573627316E-05</v>
      </c>
      <c r="AO213" s="229">
        <f>AK213+AN213-AN221</f>
        <v>0.025157951389506737</v>
      </c>
      <c r="AP213" s="75">
        <f>IF(AO213&lt;0,-$H213*ABS(AO213)^1.85,$H213*ABS(AO213)^1.85)</f>
        <v>0.8209947484017753</v>
      </c>
      <c r="AQ213" s="78">
        <f>1.85*ABS(AP213/AO213)</f>
        <v>60.372176614379875</v>
      </c>
      <c r="AR213" s="234">
        <f>AR212</f>
        <v>4.807285377696434E-06</v>
      </c>
      <c r="AS213" s="229">
        <f>AO213+AR213-AR221</f>
        <v>0.0251589211719559</v>
      </c>
      <c r="AT213" s="75">
        <f>IF(AS213&lt;0,-$H213*ABS(AS213)^1.85,$H213*ABS(AS213)^1.85)</f>
        <v>0.8210532972382502</v>
      </c>
      <c r="AU213" s="78">
        <f>1.85*ABS(AT213/AS213)</f>
        <v>60.37415473855459</v>
      </c>
      <c r="AV213" s="234">
        <f>AV212</f>
        <v>1.8815179409884313E-06</v>
      </c>
      <c r="AW213" s="241">
        <f>AS213+AV213-AV221</f>
        <v>0.025159490504551324</v>
      </c>
      <c r="AX213" s="75">
        <f>IF(AW213&lt;0,-$H213*ABS(AW213)^1.85,$H213*ABS(AW213)^1.85)</f>
        <v>0.8210876705430457</v>
      </c>
      <c r="AY213" s="78">
        <f>1.85*ABS(AX213/AW213)</f>
        <v>60.37531603550744</v>
      </c>
      <c r="AZ213" s="234">
        <f>AZ212</f>
        <v>6.336518252029038E-07</v>
      </c>
      <c r="BA213" s="241">
        <f>AW213+AZ213-AZ221</f>
        <v>0.02515963610604512</v>
      </c>
      <c r="BB213" s="75">
        <f>IF(BA213&lt;0,-$H213*ABS(BA213)^1.85,$H213*ABS(BA213)^1.85)</f>
        <v>0.8210964613008703</v>
      </c>
      <c r="BC213" s="78">
        <f>1.85*ABS(BB213/BA213)</f>
        <v>60.37561302572386</v>
      </c>
      <c r="BD213" s="243">
        <f>BD212</f>
        <v>2.3834727422826725E-07</v>
      </c>
    </row>
    <row r="214" spans="2:56" ht="15">
      <c r="B214" s="25"/>
      <c r="C214" s="65" t="s">
        <v>77</v>
      </c>
      <c r="D214" s="43" t="s">
        <v>80</v>
      </c>
      <c r="E214" s="68">
        <f t="shared" si="5"/>
        <v>0.2032</v>
      </c>
      <c r="F214" s="68">
        <f t="shared" si="5"/>
        <v>130</v>
      </c>
      <c r="G214" s="185">
        <f t="shared" si="5"/>
        <v>228.60000000000002</v>
      </c>
      <c r="H214" s="84">
        <f>10.626*G214/(F214^1.85*E214^4.87)</f>
        <v>699.9425562734326</v>
      </c>
      <c r="I214" s="207">
        <f>N135</f>
        <v>-0.05928715947265625</v>
      </c>
      <c r="J214" s="75">
        <f>IF(I214&lt;0,-$H214*ABS(I214)^1.85,$H214*ABS(I214)^1.85)</f>
        <v>-3.758716662644583</v>
      </c>
      <c r="K214" s="78">
        <f>1.85*ABS(J214/I214)</f>
        <v>117.28721510261511</v>
      </c>
      <c r="L214" s="217">
        <f>L213</f>
        <v>0.011380247315105783</v>
      </c>
      <c r="M214" s="203">
        <f aca="true" t="shared" si="6" ref="M214:M220">I214+L214</f>
        <v>-0.04790691215755047</v>
      </c>
      <c r="N214" s="75">
        <f>IF(M214&lt;0,-$H214*ABS(M214)^1.85,$H214*ABS(M214)^1.85)</f>
        <v>-2.5339557753669726</v>
      </c>
      <c r="O214" s="78">
        <f>1.85*ABS(N214/M214)</f>
        <v>97.85264742198723</v>
      </c>
      <c r="P214" s="217">
        <f>P213</f>
        <v>0.010828494412266043</v>
      </c>
      <c r="Q214" s="203">
        <f>M214+P214</f>
        <v>-0.03707841774528443</v>
      </c>
      <c r="R214" s="75">
        <f>IF(Q214&lt;0,-$H214*ABS(Q214)^1.85,$H214*ABS(Q214)^1.85)</f>
        <v>-1.5773810045381895</v>
      </c>
      <c r="S214" s="78">
        <f>1.85*ABS(R214/Q214)</f>
        <v>78.70224879719355</v>
      </c>
      <c r="T214" s="217">
        <f>T213</f>
        <v>0.001736053994532865</v>
      </c>
      <c r="U214" s="203">
        <f>Q214+T214</f>
        <v>-0.03534236375075156</v>
      </c>
      <c r="V214" s="75">
        <f>IF(U214&lt;0,-$H214*ABS(U214)^1.85,$H214*ABS(U214)^1.85)</f>
        <v>-1.4434749290153845</v>
      </c>
      <c r="W214" s="78">
        <f>1.85*ABS(V214/U214)</f>
        <v>75.55885728276097</v>
      </c>
      <c r="X214" s="217">
        <f>X213</f>
        <v>0.001049382994676124</v>
      </c>
      <c r="Y214" s="204">
        <f>U214+X214</f>
        <v>-0.03429298075607544</v>
      </c>
      <c r="Z214" s="75">
        <f>IF(Y214&lt;0,-$H214*ABS(Y214)^1.85,$H214*ABS(Y214)^1.85)</f>
        <v>-1.365186815725431</v>
      </c>
      <c r="AA214" s="78">
        <f>1.85*ABS(Z214/Y214)</f>
        <v>73.64759648793743</v>
      </c>
      <c r="AB214" s="264">
        <f>AB213</f>
        <v>0.0002557521517636879</v>
      </c>
      <c r="AC214" s="204">
        <f>Y214+AB214</f>
        <v>-0.03403722860431175</v>
      </c>
      <c r="AD214" s="75">
        <f>IF(AC214&lt;0,-$H214*ABS(AC214)^1.85,$H214*ABS(AC214)^1.85)</f>
        <v>-1.3464110076595242</v>
      </c>
      <c r="AE214" s="78">
        <f>1.85*ABS(AD214/AC214)</f>
        <v>73.18046933628973</v>
      </c>
      <c r="AF214" s="89">
        <f>AF213</f>
        <v>0.00012312305651907988</v>
      </c>
      <c r="AG214" s="204">
        <f>AC214+AF214</f>
        <v>-0.03391410554779267</v>
      </c>
      <c r="AH214" s="75">
        <f>IF(AG214&lt;0,-$H214*ABS(AG214)^1.85,$H214*ABS(AG214)^1.85)</f>
        <v>-1.337414658984794</v>
      </c>
      <c r="AI214" s="78">
        <f>1.85*ABS(AH214/AG214)</f>
        <v>72.9553995058232</v>
      </c>
      <c r="AJ214" s="231">
        <f>AJ213</f>
        <v>3.5727346872751726E-05</v>
      </c>
      <c r="AK214" s="204">
        <f>AG214+AJ214</f>
        <v>-0.03387837820091992</v>
      </c>
      <c r="AL214" s="75">
        <f>IF(AK214&lt;0,-$H214*ABS(AK214)^1.85,$H214*ABS(AK214)^1.85)</f>
        <v>-1.3348093231729756</v>
      </c>
      <c r="AM214" s="78">
        <f>1.85*ABS(AL214/AK214)</f>
        <v>72.8900667329746</v>
      </c>
      <c r="AN214" s="231">
        <f>AN213</f>
        <v>1.5047339573627316E-05</v>
      </c>
      <c r="AO214" s="204">
        <f>AK214+AN214</f>
        <v>-0.03386333086134629</v>
      </c>
      <c r="AP214" s="75">
        <f>IF(AO214&lt;0,-$H214*ABS(AO214)^1.85,$H214*ABS(AO214)^1.85)</f>
        <v>-1.3337127286318264</v>
      </c>
      <c r="AQ214" s="78">
        <f>1.85*ABS(AP214/AO214)</f>
        <v>72.8625473398214</v>
      </c>
      <c r="AR214" s="234">
        <f>AR213</f>
        <v>4.807285377696434E-06</v>
      </c>
      <c r="AS214" s="204">
        <f>AO214+AR214</f>
        <v>-0.033858523575968594</v>
      </c>
      <c r="AT214" s="75">
        <f>IF(AS214&lt;0,-$H214*ABS(AS214)^1.85,$H214*ABS(AS214)^1.85)</f>
        <v>-1.3333624787066785</v>
      </c>
      <c r="AU214" s="78">
        <f>1.85*ABS(AT214/AS214)</f>
        <v>72.85375512823995</v>
      </c>
      <c r="AV214" s="234">
        <f>AV213</f>
        <v>1.8815179409884313E-06</v>
      </c>
      <c r="AW214" s="238">
        <f>AS214+AV214</f>
        <v>-0.0338566420580276</v>
      </c>
      <c r="AX214" s="75">
        <f>IF(AW214&lt;0,-$H214*ABS(AW214)^1.85,$H214*ABS(AW214)^1.85)</f>
        <v>-1.333225406296696</v>
      </c>
      <c r="AY214" s="78">
        <f>1.85*ABS(AX214/AW214)</f>
        <v>72.85031390359264</v>
      </c>
      <c r="AZ214" s="234">
        <f>AZ213</f>
        <v>6.336518252029038E-07</v>
      </c>
      <c r="BA214" s="238">
        <f>AW214+AZ214</f>
        <v>-0.0338560084062024</v>
      </c>
      <c r="BB214" s="75">
        <f>IF(BA214&lt;0,-$H214*ABS(BA214)^1.85,$H214*ABS(BA214)^1.85)</f>
        <v>-1.333179244929503</v>
      </c>
      <c r="BC214" s="78">
        <f>1.85*ABS(BB214/BA214)</f>
        <v>72.84915497208293</v>
      </c>
      <c r="BD214" s="243">
        <f>BD213</f>
        <v>2.3834727422826725E-07</v>
      </c>
    </row>
    <row r="215" spans="2:56" ht="15">
      <c r="B215" s="25"/>
      <c r="C215" s="65"/>
      <c r="D215" s="43" t="s">
        <v>81</v>
      </c>
      <c r="E215" s="68">
        <f t="shared" si="5"/>
        <v>0.2032</v>
      </c>
      <c r="F215" s="68">
        <f t="shared" si="5"/>
        <v>130</v>
      </c>
      <c r="G215" s="185">
        <f t="shared" si="5"/>
        <v>243.84</v>
      </c>
      <c r="H215" s="84">
        <f>10.626*G215/(F215^1.85*E215^4.87)</f>
        <v>746.6053933583281</v>
      </c>
      <c r="I215" s="207">
        <f>N136</f>
        <v>-0.06256489078776042</v>
      </c>
      <c r="J215" s="75">
        <f>IF(I215&lt;0,-$H215*ABS(I215)^1.85,$H215*ABS(I215)^1.85)</f>
        <v>-4.428971655150615</v>
      </c>
      <c r="K215" s="78">
        <f>1.85*ABS(J215/I215)</f>
        <v>130.96158978082246</v>
      </c>
      <c r="L215" s="217">
        <f>L214</f>
        <v>0.011380247315105783</v>
      </c>
      <c r="M215" s="203">
        <f t="shared" si="6"/>
        <v>-0.05118464347265464</v>
      </c>
      <c r="N215" s="75">
        <f>IF(M215&lt;0,-$H215*ABS(M215)^1.85,$H215*ABS(M215)^1.85)</f>
        <v>-3.0549178464677857</v>
      </c>
      <c r="O215" s="78">
        <f>1.85*ABS(N215/M215)</f>
        <v>110.41589102764321</v>
      </c>
      <c r="P215" s="217">
        <f>P214</f>
        <v>0.010828494412266043</v>
      </c>
      <c r="Q215" s="203">
        <f>M215+P215</f>
        <v>-0.0403561490603886</v>
      </c>
      <c r="R215" s="75">
        <f>IF(Q215&lt;0,-$H215*ABS(Q215)^1.85,$H215*ABS(Q215)^1.85)</f>
        <v>-1.967995496286556</v>
      </c>
      <c r="S215" s="78">
        <f>1.85*ABS(R215/Q215)</f>
        <v>90.21652840765553</v>
      </c>
      <c r="T215" s="217">
        <f>T214</f>
        <v>0.001736053994532865</v>
      </c>
      <c r="U215" s="203">
        <f>Q215+T215</f>
        <v>-0.03862009506585573</v>
      </c>
      <c r="V215" s="75">
        <f>IF(U215&lt;0,-$H215*ABS(U215)^1.85,$H215*ABS(U215)^1.85)</f>
        <v>-1.8142444328095653</v>
      </c>
      <c r="W215" s="78">
        <f>1.85*ABS(V215/U215)</f>
        <v>86.9068860388453</v>
      </c>
      <c r="X215" s="217">
        <f>X214</f>
        <v>0.001049382994676124</v>
      </c>
      <c r="Y215" s="204">
        <f>U215+X215</f>
        <v>-0.03757071207117961</v>
      </c>
      <c r="Z215" s="75">
        <f>IF(Y215&lt;0,-$H215*ABS(Y215)^1.85,$H215*ABS(Y215)^1.85)</f>
        <v>-1.7241004350341214</v>
      </c>
      <c r="AA215" s="78">
        <f>1.85*ABS(Z215/Y215)</f>
        <v>84.89553774680377</v>
      </c>
      <c r="AB215" s="264">
        <f>AB214</f>
        <v>0.0002557521517636879</v>
      </c>
      <c r="AC215" s="204">
        <f>Y215+AB215</f>
        <v>-0.03731495991941592</v>
      </c>
      <c r="AD215" s="75">
        <f>IF(AC215&lt;0,-$H215*ABS(AC215)^1.85,$H215*ABS(AC215)^1.85)</f>
        <v>-1.7024510549435223</v>
      </c>
      <c r="AE215" s="78">
        <f>1.85*ABS(AD215/AC215)</f>
        <v>84.40406899664748</v>
      </c>
      <c r="AF215" s="89">
        <f>AF214</f>
        <v>0.00012312305651907988</v>
      </c>
      <c r="AG215" s="204">
        <f>AC215+AF215</f>
        <v>-0.03719183686289684</v>
      </c>
      <c r="AH215" s="75">
        <f>IF(AG215&lt;0,-$H215*ABS(AG215)^1.85,$H215*ABS(AG215)^1.85)</f>
        <v>-1.6920735433638598</v>
      </c>
      <c r="AI215" s="78">
        <f>1.85*ABS(AH215/AG215)</f>
        <v>84.16728828863015</v>
      </c>
      <c r="AJ215" s="231">
        <f>AJ214</f>
        <v>3.5727346872751726E-05</v>
      </c>
      <c r="AK215" s="204">
        <f>AG215+AJ215</f>
        <v>-0.03715610951602409</v>
      </c>
      <c r="AL215" s="75">
        <f>IF(AK215&lt;0,-$H215*ABS(AK215)^1.85,$H215*ABS(AK215)^1.85)</f>
        <v>-1.689067697201612</v>
      </c>
      <c r="AM215" s="78">
        <f>1.85*ABS(AL215/AK215)</f>
        <v>84.09855823240535</v>
      </c>
      <c r="AN215" s="231">
        <f>AN214</f>
        <v>1.5047339573627316E-05</v>
      </c>
      <c r="AO215" s="204">
        <f>AK215+AN215</f>
        <v>-0.03714106217645046</v>
      </c>
      <c r="AP215" s="75">
        <f>IF(AO215&lt;0,-$H215*ABS(AO215)^1.85,$H215*ABS(AO215)^1.85)</f>
        <v>-1.6878024554470679</v>
      </c>
      <c r="AQ215" s="78">
        <f>1.85*ABS(AP215/AO215)</f>
        <v>84.06960812652463</v>
      </c>
      <c r="AR215" s="234">
        <f>AR214</f>
        <v>4.807285377696434E-06</v>
      </c>
      <c r="AS215" s="204">
        <f>AO215+AR215</f>
        <v>-0.037136254891072765</v>
      </c>
      <c r="AT215" s="75">
        <f>IF(AS215&lt;0,-$H215*ABS(AS215)^1.85,$H215*ABS(AS215)^1.85)</f>
        <v>-1.6873983310810965</v>
      </c>
      <c r="AU215" s="78">
        <f>1.85*ABS(AT215/AS215)</f>
        <v>84.06035885030656</v>
      </c>
      <c r="AV215" s="234">
        <f>AV214</f>
        <v>1.8815179409884313E-06</v>
      </c>
      <c r="AW215" s="238">
        <f>AS215+AV215</f>
        <v>-0.037134373373131774</v>
      </c>
      <c r="AX215" s="75">
        <f>IF(AW215&lt;0,-$H215*ABS(AW215)^1.85,$H215*ABS(AW215)^1.85)</f>
        <v>-1.6872401734134426</v>
      </c>
      <c r="AY215" s="78">
        <f>1.85*ABS(AX215/AW215)</f>
        <v>84.05673873773577</v>
      </c>
      <c r="AZ215" s="234">
        <f>AZ214</f>
        <v>6.336518252029038E-07</v>
      </c>
      <c r="BA215" s="238">
        <f>AW215+AZ215</f>
        <v>-0.03713373972130657</v>
      </c>
      <c r="BB215" s="75">
        <f>IF(BA215&lt;0,-$H215*ABS(BA215)^1.85,$H215*ABS(BA215)^1.85)</f>
        <v>-1.687186911093787</v>
      </c>
      <c r="BC215" s="78">
        <f>1.85*ABS(BB215/BA215)</f>
        <v>84.05551956116531</v>
      </c>
      <c r="BD215" s="243">
        <f>BD214</f>
        <v>2.3834727422826725E-07</v>
      </c>
    </row>
    <row r="216" spans="2:56" ht="15">
      <c r="B216" s="25"/>
      <c r="C216" s="65"/>
      <c r="D216" s="11"/>
      <c r="E216" s="48"/>
      <c r="F216" s="48"/>
      <c r="G216" s="48"/>
      <c r="H216" s="69"/>
      <c r="I216" s="129" t="s">
        <v>104</v>
      </c>
      <c r="J216" s="74">
        <f>SUM(J211:J215)</f>
        <v>-4.229658959891266</v>
      </c>
      <c r="K216" s="80">
        <f>SUM(K211:K215)</f>
        <v>371.66669956960857</v>
      </c>
      <c r="L216" s="217">
        <f>L215</f>
        <v>0.011380247315105783</v>
      </c>
      <c r="M216" s="203" t="s">
        <v>104</v>
      </c>
      <c r="N216" s="74">
        <f>SUM(N211:N215)</f>
        <v>-3.629363966641704</v>
      </c>
      <c r="O216" s="80">
        <f>SUM(O211:O215)</f>
        <v>335.16792163927425</v>
      </c>
      <c r="P216" s="222"/>
      <c r="Q216" s="203" t="s">
        <v>104</v>
      </c>
      <c r="R216" s="74">
        <f>SUM(R211:R215)</f>
        <v>-0.5549586456349467</v>
      </c>
      <c r="S216" s="80">
        <f>SUM(S211:S215)</f>
        <v>319.666696648035</v>
      </c>
      <c r="T216" s="222"/>
      <c r="U216" s="203" t="s">
        <v>104</v>
      </c>
      <c r="V216" s="74">
        <f>SUM(V211:V215)</f>
        <v>-0.32776038738797864</v>
      </c>
      <c r="W216" s="80">
        <f>SUM(W211:W215)</f>
        <v>312.33628622802</v>
      </c>
      <c r="X216" s="222"/>
      <c r="Y216" s="204" t="s">
        <v>104</v>
      </c>
      <c r="Z216" s="74">
        <f>SUM(Z211:Z215)</f>
        <v>-0.07936972567980494</v>
      </c>
      <c r="AA216" s="80">
        <f>SUM(AA211:AA215)</f>
        <v>310.338447330608</v>
      </c>
      <c r="AB216" s="262"/>
      <c r="AC216" s="204" t="s">
        <v>104</v>
      </c>
      <c r="AD216" s="74">
        <f>SUM(AD211:AD215)</f>
        <v>-0.03809557507289041</v>
      </c>
      <c r="AE216" s="80">
        <f>SUM(AE211:AE215)</f>
        <v>309.4105697984105</v>
      </c>
      <c r="AF216" s="93"/>
      <c r="AG216" s="204" t="s">
        <v>104</v>
      </c>
      <c r="AH216" s="74">
        <f>SUM(AH211:AH215)</f>
        <v>-0.011044664708161678</v>
      </c>
      <c r="AI216" s="80">
        <f>SUM(AI211:AI215)</f>
        <v>309.1375563794003</v>
      </c>
      <c r="AJ216" s="228"/>
      <c r="AK216" s="204" t="s">
        <v>104</v>
      </c>
      <c r="AL216" s="74">
        <f>SUM(AL211:AL215)</f>
        <v>-0.004649976975605652</v>
      </c>
      <c r="AM216" s="80">
        <f>SUM(AM211:AM215)</f>
        <v>309.023196615794</v>
      </c>
      <c r="AN216" s="228"/>
      <c r="AO216" s="204" t="s">
        <v>104</v>
      </c>
      <c r="AP216" s="74">
        <f>SUM(AP211:AP215)</f>
        <v>-0.0014853865074142547</v>
      </c>
      <c r="AQ216" s="80">
        <f>SUM(AQ211:AQ215)</f>
        <v>308.9865466081453</v>
      </c>
      <c r="AR216" s="236"/>
      <c r="AS216" s="204" t="s">
        <v>104</v>
      </c>
      <c r="AT216" s="74">
        <f>SUM(AT211:AT215)</f>
        <v>-0.0005813367918052759</v>
      </c>
      <c r="AU216" s="80">
        <f>SUM(AU211:AU215)</f>
        <v>308.9722288270491</v>
      </c>
      <c r="AV216" s="236"/>
      <c r="AW216" s="238" t="s">
        <v>104</v>
      </c>
      <c r="AX216" s="74">
        <f>SUM(AX211:AX215)</f>
        <v>-0.00019577775733758962</v>
      </c>
      <c r="AY216" s="80">
        <f>SUM(AY211:AY215)</f>
        <v>308.96740063030506</v>
      </c>
      <c r="AZ216" s="236"/>
      <c r="BA216" s="238" t="s">
        <v>104</v>
      </c>
      <c r="BB216" s="74">
        <f>SUM(BB211:BB215)</f>
        <v>-7.364110529950452E-05</v>
      </c>
      <c r="BC216" s="80">
        <f>SUM(BC211:BC215)</f>
        <v>308.96558619326936</v>
      </c>
      <c r="BD216" s="245"/>
    </row>
    <row r="217" spans="2:56" ht="15">
      <c r="B217" s="25"/>
      <c r="C217" s="65"/>
      <c r="D217" s="11"/>
      <c r="E217" s="48"/>
      <c r="F217" s="48"/>
      <c r="G217" s="48"/>
      <c r="H217" s="69"/>
      <c r="I217" s="129"/>
      <c r="J217" s="74"/>
      <c r="K217" s="74"/>
      <c r="L217" s="218"/>
      <c r="M217" s="222"/>
      <c r="N217" s="93"/>
      <c r="O217" s="93"/>
      <c r="P217" s="222"/>
      <c r="Q217" s="222"/>
      <c r="R217" s="93"/>
      <c r="S217" s="93"/>
      <c r="T217" s="222"/>
      <c r="U217" s="222"/>
      <c r="V217" s="93"/>
      <c r="W217" s="93"/>
      <c r="X217" s="222"/>
      <c r="Y217" s="228"/>
      <c r="Z217" s="93"/>
      <c r="AA217" s="93"/>
      <c r="AB217" s="262"/>
      <c r="AC217" s="228"/>
      <c r="AD217" s="93"/>
      <c r="AE217" s="93"/>
      <c r="AF217" s="93"/>
      <c r="AG217" s="228"/>
      <c r="AH217" s="93"/>
      <c r="AI217" s="93"/>
      <c r="AJ217" s="228"/>
      <c r="AK217" s="228"/>
      <c r="AL217" s="93"/>
      <c r="AM217" s="93"/>
      <c r="AN217" s="228"/>
      <c r="AO217" s="228"/>
      <c r="AP217" s="93"/>
      <c r="AQ217" s="93"/>
      <c r="AR217" s="236"/>
      <c r="AS217" s="228"/>
      <c r="AT217" s="93"/>
      <c r="AU217" s="93"/>
      <c r="AV217" s="236"/>
      <c r="AW217" s="236"/>
      <c r="AX217" s="93"/>
      <c r="AY217" s="93"/>
      <c r="AZ217" s="236"/>
      <c r="BA217" s="236"/>
      <c r="BB217" s="93"/>
      <c r="BC217" s="93"/>
      <c r="BD217" s="245"/>
    </row>
    <row r="218" spans="2:56" ht="15">
      <c r="B218" s="25"/>
      <c r="C218" s="65"/>
      <c r="D218" s="94" t="s">
        <v>83</v>
      </c>
      <c r="E218" s="68">
        <f aca="true" t="shared" si="7" ref="E218:G221">J138</f>
        <v>0.2032</v>
      </c>
      <c r="F218" s="68">
        <f t="shared" si="7"/>
        <v>130</v>
      </c>
      <c r="G218" s="185">
        <f t="shared" si="7"/>
        <v>228.60000000000002</v>
      </c>
      <c r="H218" s="271">
        <f>10.626*G218/(F218^1.85*E218^4.87)</f>
        <v>699.9425562734326</v>
      </c>
      <c r="I218" s="270">
        <f>N138</f>
        <v>0.05684276149088542</v>
      </c>
      <c r="J218" s="75">
        <f>IF(I218&lt;0,-$H218*ABS(I218)^1.85,$H218*ABS(I218)^1.85)</f>
        <v>3.4770542015901706</v>
      </c>
      <c r="K218" s="78">
        <f>1.85*ABS(J218/I218)</f>
        <v>113.16392983428959</v>
      </c>
      <c r="L218" s="219">
        <f>-J222/K222</f>
        <v>-0.010581259938180416</v>
      </c>
      <c r="M218" s="220">
        <f>I218+L218-L207</f>
        <v>0.006983048906365814</v>
      </c>
      <c r="N218" s="75">
        <f>IF(M218&lt;0,-$H218*ABS(M218)^1.85,$H218*ABS(M218)^1.85)</f>
        <v>0.07186969537371309</v>
      </c>
      <c r="O218" s="78">
        <f>1.85*ABS(N218/M218)</f>
        <v>19.040241336440097</v>
      </c>
      <c r="P218" s="219">
        <f>-N222/O222</f>
        <v>0.009281913675125267</v>
      </c>
      <c r="Q218" s="220">
        <f>M218+P218-P207</f>
        <v>0.016960703543328338</v>
      </c>
      <c r="R218" s="75">
        <f>IF(Q218&lt;0,-$H218*ABS(Q218)^1.85,$H218*ABS(Q218)^1.85)</f>
        <v>0.3711363960175526</v>
      </c>
      <c r="S218" s="78">
        <f>1.85*ABS(R218/Q218)</f>
        <v>40.48194881058187</v>
      </c>
      <c r="T218" s="219">
        <f>-R222/S222</f>
        <v>0.0014215056147130999</v>
      </c>
      <c r="U218" s="220">
        <f>Q218+T218-T207</f>
        <v>0.015780459486857287</v>
      </c>
      <c r="V218" s="75">
        <f>IF(U218&lt;0,-$H218*ABS(U218)^1.85,$H218*ABS(U218)^1.85)</f>
        <v>0.32477586026394123</v>
      </c>
      <c r="W218" s="78">
        <f>1.85*ABS(V218/U218)</f>
        <v>38.07464174213022</v>
      </c>
      <c r="X218" s="219">
        <f>-V222/W222</f>
        <v>0.0006211646065450034</v>
      </c>
      <c r="Y218" s="226">
        <f>U218+X218-X207</f>
        <v>0.01594925843619806</v>
      </c>
      <c r="Z218" s="75">
        <f>IF(Y218&lt;0,-$H218*ABS(Y218)^1.85,$H218*ABS(Y218)^1.85)</f>
        <v>0.3312320218111414</v>
      </c>
      <c r="AA218" s="78">
        <f>1.85*ABS(Z218/Y218)</f>
        <v>38.42054743810924</v>
      </c>
      <c r="AB218" s="265">
        <f>-Z222/AA222</f>
        <v>0.00023944427391821304</v>
      </c>
      <c r="AC218" s="226">
        <f>Y218+AB218-AB207</f>
        <v>0.01593149382218299</v>
      </c>
      <c r="AD218" s="75">
        <f>IF(AC218&lt;0,-$H218*ABS(AC218)^1.85,$H218*ABS(AC218)^1.85)</f>
        <v>0.33054981872366834</v>
      </c>
      <c r="AE218" s="78">
        <f>1.85*ABS(AD218/AC218)</f>
        <v>38.38416983769035</v>
      </c>
      <c r="AF218" s="90">
        <f>-AD222/AE222</f>
        <v>7.600577482346048E-05</v>
      </c>
      <c r="AG218" s="226">
        <f>AC218+AF218-AF207</f>
        <v>0.015937158370062085</v>
      </c>
      <c r="AH218" s="75">
        <f>IF(AG218&lt;0,-$H218*ABS(AG218)^1.85,$H218*ABS(AG218)^1.85)</f>
        <v>0.3307672805469593</v>
      </c>
      <c r="AI218" s="78">
        <f>1.85*ABS(AH218/AG218)</f>
        <v>38.395770111776265</v>
      </c>
      <c r="AJ218" s="232">
        <f>-AH222/AI222</f>
        <v>3.041685008886161E-05</v>
      </c>
      <c r="AK218" s="226">
        <f>AG218+AJ218-AJ207</f>
        <v>0.015936898508681248</v>
      </c>
      <c r="AL218" s="75">
        <f>IF(AK218&lt;0,-$H218*ABS(AK218)^1.85,$H218*ABS(AK218)^1.85)</f>
        <v>0.3307573030382621</v>
      </c>
      <c r="AM218" s="78">
        <f>1.85*ABS(AL218/AK218)</f>
        <v>38.39523796223377</v>
      </c>
      <c r="AN218" s="232">
        <f>-AL222/AM222</f>
        <v>1.0019698103069828E-05</v>
      </c>
      <c r="AO218" s="226">
        <f>AK218+AN218-AN207</f>
        <v>0.015937316594476423</v>
      </c>
      <c r="AP218" s="75">
        <f>IF(AO218&lt;0,-$H218*ABS(AO218)^1.85,$H218*ABS(AO218)^1.85)</f>
        <v>0.33077335572083216</v>
      </c>
      <c r="AQ218" s="78">
        <f>1.85*ABS(AP218/AO218)</f>
        <v>38.39609412638658</v>
      </c>
      <c r="AR218" s="237">
        <f>-AP222/AQ222</f>
        <v>3.837502928531808E-06</v>
      </c>
      <c r="AS218" s="226">
        <f>AO218+AR218-AR207</f>
        <v>0.015937340742213087</v>
      </c>
      <c r="AT218" s="75">
        <f>IF(AS218&lt;0,-$H218*ABS(AS218)^1.85,$H218*ABS(AS218)^1.85)</f>
        <v>0.33077428290019883</v>
      </c>
      <c r="AU218" s="78">
        <f>1.85*ABS(AT218/AS218)</f>
        <v>38.396143576484384</v>
      </c>
      <c r="AV218" s="237">
        <f>-AT222/AU222</f>
        <v>1.312185345563459E-06</v>
      </c>
      <c r="AW218" s="242">
        <f>AS218+AV218-AV207</f>
        <v>0.015937381716206633</v>
      </c>
      <c r="AX218" s="75">
        <f>IF(AW218&lt;0,-$H218*ABS(AW218)^1.85,$H218*ABS(AW218)^1.85)</f>
        <v>0.33077585614525673</v>
      </c>
      <c r="AY218" s="78">
        <f>1.85*ABS(AX218/AW218)</f>
        <v>38.396227483618055</v>
      </c>
      <c r="AZ218" s="237">
        <f>-AX222/AY222</f>
        <v>4.880503314042459E-07</v>
      </c>
      <c r="BA218" s="242">
        <f>AW218+AZ218-AZ207</f>
        <v>0.015937387962695216</v>
      </c>
      <c r="BB218" s="75">
        <f>IF(BA218&lt;0,-$H218*ABS(BA218)^1.85,$H218*ABS(BA218)^1.85)</f>
        <v>0.33077609598689345</v>
      </c>
      <c r="BC218" s="78">
        <f>1.85*ABS(BB218/BA218)</f>
        <v>38.39624027526445</v>
      </c>
      <c r="BD218" s="246">
        <f>-BB222/BC222</f>
        <v>1.7056100317547526E-07</v>
      </c>
    </row>
    <row r="219" spans="2:56" ht="15">
      <c r="B219" s="25"/>
      <c r="C219" s="65" t="s">
        <v>68</v>
      </c>
      <c r="D219" s="43" t="s">
        <v>84</v>
      </c>
      <c r="E219" s="68">
        <f t="shared" si="7"/>
        <v>0.2032</v>
      </c>
      <c r="F219" s="68">
        <f t="shared" si="7"/>
        <v>130</v>
      </c>
      <c r="G219" s="185">
        <f t="shared" si="7"/>
        <v>243.84</v>
      </c>
      <c r="H219" s="84">
        <f>10.626*G219/(F219^1.85*E219^4.87)</f>
        <v>746.6053933583281</v>
      </c>
      <c r="I219" s="207">
        <f>N139</f>
        <v>0.05684276149088542</v>
      </c>
      <c r="J219" s="75">
        <f>IF(I219&lt;0,-$H219*ABS(I219)^1.85,$H219*ABS(I219)^1.85)</f>
        <v>3.708857815029515</v>
      </c>
      <c r="K219" s="78">
        <f>1.85*ABS(J219/I219)</f>
        <v>120.7081918232422</v>
      </c>
      <c r="L219" s="217">
        <f>L218</f>
        <v>-0.010581259938180416</v>
      </c>
      <c r="M219" s="203">
        <f t="shared" si="6"/>
        <v>0.046261501552705</v>
      </c>
      <c r="N219" s="75">
        <f>IF(M219&lt;0,-$H219*ABS(M219)^1.85,$H219*ABS(M219)^1.85)</f>
        <v>2.533655793587565</v>
      </c>
      <c r="O219" s="78">
        <f>1.85*ABS(N219/M219)</f>
        <v>101.3210350035195</v>
      </c>
      <c r="P219" s="217">
        <f>P218</f>
        <v>0.009281913675125267</v>
      </c>
      <c r="Q219" s="203">
        <f>M219+P219</f>
        <v>0.05554341522783027</v>
      </c>
      <c r="R219" s="75">
        <f>IF(Q219&lt;0,-$H219*ABS(Q219)^1.85,$H219*ABS(Q219)^1.85)</f>
        <v>3.553541533062767</v>
      </c>
      <c r="S219" s="78">
        <f>1.85*ABS(R219/Q219)</f>
        <v>118.35879751362789</v>
      </c>
      <c r="T219" s="217">
        <f>T218</f>
        <v>0.0014215056147130999</v>
      </c>
      <c r="U219" s="203">
        <f>Q219+T219</f>
        <v>0.05696492084254337</v>
      </c>
      <c r="V219" s="75">
        <f>IF(U219&lt;0,-$H219*ABS(U219)^1.85,$H219*ABS(U219)^1.85)</f>
        <v>3.7236169160620913</v>
      </c>
      <c r="W219" s="78">
        <f>1.85*ABS(V219/U219)</f>
        <v>120.92865561519673</v>
      </c>
      <c r="X219" s="217">
        <f>X218</f>
        <v>0.0006211646065450034</v>
      </c>
      <c r="Y219" s="204">
        <f>U219+X219</f>
        <v>0.05758608544908837</v>
      </c>
      <c r="Z219" s="75">
        <f>IF(Y219&lt;0,-$H219*ABS(Y219)^1.85,$H219*ABS(Y219)^1.85)</f>
        <v>3.799081443701748</v>
      </c>
      <c r="AA219" s="78">
        <f>1.85*ABS(Z219/Y219)</f>
        <v>122.0485923993206</v>
      </c>
      <c r="AB219" s="264">
        <f>AB218</f>
        <v>0.00023944427391821304</v>
      </c>
      <c r="AC219" s="204">
        <f>Y219+AB219</f>
        <v>0.057825529723006586</v>
      </c>
      <c r="AD219" s="75">
        <f>IF(AC219&lt;0,-$H219*ABS(AC219)^1.85,$H219*ABS(AC219)^1.85)</f>
        <v>3.8283569127574943</v>
      </c>
      <c r="AE219" s="78">
        <f>1.85*ABS(AD219/AC219)</f>
        <v>122.4798168305153</v>
      </c>
      <c r="AF219" s="89">
        <f>AF218</f>
        <v>7.600577482346048E-05</v>
      </c>
      <c r="AG219" s="204">
        <f>AC219+AF219</f>
        <v>0.057901535497830045</v>
      </c>
      <c r="AH219" s="75">
        <f>IF(AG219&lt;0,-$H219*ABS(AG219)^1.85,$H219*ABS(AG219)^1.85)</f>
        <v>3.8376712860777906</v>
      </c>
      <c r="AI219" s="78">
        <f>1.85*ABS(AH219/AG219)</f>
        <v>122.61664251563734</v>
      </c>
      <c r="AJ219" s="231">
        <f>AJ218</f>
        <v>3.041685008886161E-05</v>
      </c>
      <c r="AK219" s="204">
        <f>AG219+AJ219</f>
        <v>0.057931952347918904</v>
      </c>
      <c r="AL219" s="75">
        <f>IF(AK219&lt;0,-$H219*ABS(AK219)^1.85,$H219*ABS(AK219)^1.85)</f>
        <v>3.841401730767057</v>
      </c>
      <c r="AM219" s="78">
        <f>1.85*ABS(AL219/AK219)</f>
        <v>122.67139141521348</v>
      </c>
      <c r="AN219" s="231">
        <f>AN218</f>
        <v>1.0019698103069828E-05</v>
      </c>
      <c r="AO219" s="204">
        <f>AK219+AN219</f>
        <v>0.05794197204602197</v>
      </c>
      <c r="AP219" s="75">
        <f>IF(AO219&lt;0,-$H219*ABS(AO219)^1.85,$H219*ABS(AO219)^1.85)</f>
        <v>3.8426309514231316</v>
      </c>
      <c r="AQ219" s="78">
        <f>1.85*ABS(AP219/AO219)</f>
        <v>122.68942545632352</v>
      </c>
      <c r="AR219" s="234">
        <f>AR218</f>
        <v>3.837502928531808E-06</v>
      </c>
      <c r="AS219" s="204">
        <f>AO219+AR219</f>
        <v>0.057945809548950504</v>
      </c>
      <c r="AT219" s="75">
        <f>IF(AS219&lt;0,-$H219*ABS(AS219)^1.85,$H219*ABS(AS219)^1.85)</f>
        <v>3.843101785705152</v>
      </c>
      <c r="AU219" s="78">
        <f>1.85*ABS(AT219/AS219)</f>
        <v>122.69633229558185</v>
      </c>
      <c r="AV219" s="234">
        <f>AV218</f>
        <v>1.312185345563459E-06</v>
      </c>
      <c r="AW219" s="238">
        <f>AS219+AV219</f>
        <v>0.057947121734296066</v>
      </c>
      <c r="AX219" s="75">
        <f>IF(AW219&lt;0,-$H219*ABS(AW219)^1.85,$H219*ABS(AW219)^1.85)</f>
        <v>3.843262787583835</v>
      </c>
      <c r="AY219" s="78">
        <f>1.85*ABS(AX219/AW219)</f>
        <v>122.69869398572756</v>
      </c>
      <c r="AZ219" s="234">
        <f>AZ218</f>
        <v>4.880503314042459E-07</v>
      </c>
      <c r="BA219" s="238">
        <f>AW219+AZ219</f>
        <v>0.05794760978462747</v>
      </c>
      <c r="BB219" s="75">
        <f>IF(BA219&lt;0,-$H219*ABS(BA219)^1.85,$H219*ABS(BA219)^1.85)</f>
        <v>3.8433226709364456</v>
      </c>
      <c r="BC219" s="78">
        <f>1.85*ABS(BB219/BA219)</f>
        <v>122.69957238371939</v>
      </c>
      <c r="BD219" s="243">
        <f>BD218</f>
        <v>1.7056100317547526E-07</v>
      </c>
    </row>
    <row r="220" spans="2:56" ht="15">
      <c r="B220" s="25"/>
      <c r="C220" s="65" t="s">
        <v>82</v>
      </c>
      <c r="D220" s="43" t="s">
        <v>85</v>
      </c>
      <c r="E220" s="68">
        <f t="shared" si="7"/>
        <v>0.2032</v>
      </c>
      <c r="F220" s="68">
        <f t="shared" si="7"/>
        <v>130</v>
      </c>
      <c r="G220" s="185">
        <f t="shared" si="7"/>
        <v>228.60000000000002</v>
      </c>
      <c r="H220" s="84">
        <f>10.626*G220/(F220^1.85*E220^4.87)</f>
        <v>699.9425562734326</v>
      </c>
      <c r="I220" s="207">
        <f>N140</f>
        <v>-0.05684276149088542</v>
      </c>
      <c r="J220" s="75">
        <f>IF(I220&lt;0,-$H220*ABS(I220)^1.85,$H220*ABS(I220)^1.85)</f>
        <v>-3.4770542015901706</v>
      </c>
      <c r="K220" s="78">
        <f>1.85*ABS(J220/I220)</f>
        <v>113.16392983428959</v>
      </c>
      <c r="L220" s="217">
        <f>L219</f>
        <v>-0.010581259938180416</v>
      </c>
      <c r="M220" s="203">
        <f t="shared" si="6"/>
        <v>-0.06742402142906584</v>
      </c>
      <c r="N220" s="75">
        <f>IF(M220&lt;0,-$H220*ABS(M220)^1.85,$H220*ABS(M220)^1.85)</f>
        <v>-4.768365151745855</v>
      </c>
      <c r="O220" s="78">
        <f>1.85*ABS(N220/M220)</f>
        <v>130.8357962600994</v>
      </c>
      <c r="P220" s="217">
        <f>P219</f>
        <v>0.009281913675125267</v>
      </c>
      <c r="Q220" s="203">
        <f>M220+P220</f>
        <v>-0.058142107753940575</v>
      </c>
      <c r="R220" s="75">
        <f>IF(Q220&lt;0,-$H220*ABS(Q220)^1.85,$H220*ABS(Q220)^1.85)</f>
        <v>-3.6255201804343287</v>
      </c>
      <c r="S220" s="78">
        <f>1.85*ABS(R220/Q220)</f>
        <v>115.358947119507</v>
      </c>
      <c r="T220" s="217">
        <f>T219</f>
        <v>0.0014215056147130999</v>
      </c>
      <c r="U220" s="203">
        <f>Q220+T220</f>
        <v>-0.05672060213922747</v>
      </c>
      <c r="V220" s="75">
        <f>IF(U220&lt;0,-$H220*ABS(U220)^1.85,$H220*ABS(U220)^1.85)</f>
        <v>-3.463242796922446</v>
      </c>
      <c r="W220" s="78">
        <f>1.85*ABS(V220/U220)</f>
        <v>112.95717839136798</v>
      </c>
      <c r="X220" s="217">
        <f>X219</f>
        <v>0.0006211646065450034</v>
      </c>
      <c r="Y220" s="204">
        <f>U220+X220</f>
        <v>-0.05609943753268247</v>
      </c>
      <c r="Z220" s="75">
        <f>IF(Y220&lt;0,-$H220*ABS(Y220)^1.85,$H220*ABS(Y220)^1.85)</f>
        <v>-3.39340454432032</v>
      </c>
      <c r="AA220" s="78">
        <f>1.85*ABS(Z220/Y220)</f>
        <v>111.90483689493796</v>
      </c>
      <c r="AB220" s="264">
        <f>AB219</f>
        <v>0.00023944427391821304</v>
      </c>
      <c r="AC220" s="204">
        <f>Y220+AB220</f>
        <v>-0.05585999325876426</v>
      </c>
      <c r="AD220" s="75">
        <f>IF(AC220&lt;0,-$H220*ABS(AC220)^1.85,$H220*ABS(AC220)^1.85)</f>
        <v>-3.3666581880987545</v>
      </c>
      <c r="AE220" s="78">
        <f>1.85*ABS(AD220/AC220)</f>
        <v>111.498718217362</v>
      </c>
      <c r="AF220" s="89">
        <f>AF219</f>
        <v>7.600577482346048E-05</v>
      </c>
      <c r="AG220" s="204">
        <f>AC220+AF220</f>
        <v>-0.0557839874839408</v>
      </c>
      <c r="AH220" s="75">
        <f>IF(AG220&lt;0,-$H220*ABS(AG220)^1.85,$H220*ABS(AG220)^1.85)</f>
        <v>-3.3581885425832447</v>
      </c>
      <c r="AI220" s="78">
        <f>1.85*ABS(AH220/AG220)</f>
        <v>111.3697511417145</v>
      </c>
      <c r="AJ220" s="231">
        <f>AJ219</f>
        <v>3.041685008886161E-05</v>
      </c>
      <c r="AK220" s="204">
        <f>AG220+AJ220</f>
        <v>-0.05575357063385194</v>
      </c>
      <c r="AL220" s="75">
        <f>IF(AK220&lt;0,-$H220*ABS(AK220)^1.85,$H220*ABS(AK220)^1.85)</f>
        <v>-3.3548018105895747</v>
      </c>
      <c r="AM220" s="78">
        <f>1.85*ABS(AL220/AK220)</f>
        <v>111.31813225649047</v>
      </c>
      <c r="AN220" s="231">
        <f>AN219</f>
        <v>1.0019698103069828E-05</v>
      </c>
      <c r="AO220" s="204">
        <f>AK220+AN220</f>
        <v>-0.05574355093574887</v>
      </c>
      <c r="AP220" s="75">
        <f>IF(AO220&lt;0,-$H220*ABS(AO220)^1.85,$H220*ABS(AO220)^1.85)</f>
        <v>-3.3536865217022864</v>
      </c>
      <c r="AQ220" s="78">
        <f>1.85*ABS(AP220/AO220)</f>
        <v>111.30112741293524</v>
      </c>
      <c r="AR220" s="234">
        <f>AR219</f>
        <v>3.837502928531808E-06</v>
      </c>
      <c r="AS220" s="204">
        <f>AO220+AR220</f>
        <v>-0.05573971343282034</v>
      </c>
      <c r="AT220" s="75">
        <f>IF(AS220&lt;0,-$H220*ABS(AS220)^1.85,$H220*ABS(AS220)^1.85)</f>
        <v>-3.353259415796515</v>
      </c>
      <c r="AU220" s="78">
        <f>1.85*ABS(AT220/AS220)</f>
        <v>111.29461450676972</v>
      </c>
      <c r="AV220" s="234">
        <f>AV219</f>
        <v>1.312185345563459E-06</v>
      </c>
      <c r="AW220" s="238">
        <f>AS220+AV220</f>
        <v>-0.05573840124747478</v>
      </c>
      <c r="AX220" s="75">
        <f>IF(AW220&lt;0,-$H220*ABS(AW220)^1.85,$H220*ABS(AW220)^1.85)</f>
        <v>-3.353113378095451</v>
      </c>
      <c r="AY220" s="78">
        <f>1.85*ABS(AX220/AW220)</f>
        <v>111.292387485865</v>
      </c>
      <c r="AZ220" s="234">
        <f>AZ219</f>
        <v>4.880503314042459E-07</v>
      </c>
      <c r="BA220" s="238">
        <f>AW220+AZ220</f>
        <v>-0.05573791319714337</v>
      </c>
      <c r="BB220" s="75">
        <f>IF(BA220&lt;0,-$H220*ABS(BA220)^1.85,$H220*ABS(BA220)^1.85)</f>
        <v>-3.353059062010985</v>
      </c>
      <c r="BC220" s="78">
        <f>1.85*ABS(BB220/BA220)</f>
        <v>111.29155917229856</v>
      </c>
      <c r="BD220" s="243">
        <f>BD219</f>
        <v>1.7056100317547526E-07</v>
      </c>
    </row>
    <row r="221" spans="2:56" ht="15">
      <c r="B221" s="25"/>
      <c r="C221" s="65"/>
      <c r="D221" s="95" t="s">
        <v>86</v>
      </c>
      <c r="E221" s="68">
        <f t="shared" si="7"/>
        <v>0.2032</v>
      </c>
      <c r="F221" s="68">
        <f t="shared" si="7"/>
        <v>130</v>
      </c>
      <c r="G221" s="185">
        <f t="shared" si="7"/>
        <v>243.84</v>
      </c>
      <c r="H221" s="84">
        <f>10.626*G221/(F221^1.85*E221^4.87)</f>
        <v>746.6053933583281</v>
      </c>
      <c r="I221" s="207">
        <f>N141</f>
        <v>-0.0008333333333333334</v>
      </c>
      <c r="J221" s="75">
        <f>IF(I221&lt;0,-$H221*ABS(I221)^1.85,$H221*ABS(I221)^1.85)</f>
        <v>-0.001501778275808949</v>
      </c>
      <c r="K221" s="78">
        <f>1.85*ABS(J221/I221)</f>
        <v>3.3339477722958666</v>
      </c>
      <c r="L221" s="217">
        <f>L220</f>
        <v>-0.010581259938180416</v>
      </c>
      <c r="M221" s="223">
        <f>I221+L221-L213</f>
        <v>-0.022794840586619534</v>
      </c>
      <c r="N221" s="75">
        <f>IF(M221&lt;0,-$H221*ABS(M221)^1.85,$H221*ABS(M221)^1.85)</f>
        <v>-0.6840514340351147</v>
      </c>
      <c r="O221" s="78">
        <f>1.85*ABS(N221/M221)</f>
        <v>55.51673626126615</v>
      </c>
      <c r="P221" s="217">
        <f>P220</f>
        <v>0.009281913675125267</v>
      </c>
      <c r="Q221" s="223">
        <f>M221+P221-P213</f>
        <v>-0.024341421323760312</v>
      </c>
      <c r="R221" s="75">
        <f>IF(Q221&lt;0,-$H221*ABS(Q221)^1.85,$H221*ABS(Q221)^1.85)</f>
        <v>-0.772380142961711</v>
      </c>
      <c r="S221" s="78">
        <f>1.85*ABS(R221/Q221)</f>
        <v>58.70254022859276</v>
      </c>
      <c r="T221" s="217">
        <f>T220</f>
        <v>0.0014215056147130999</v>
      </c>
      <c r="U221" s="223">
        <f>Q221+T221-T213</f>
        <v>-0.024655969703580076</v>
      </c>
      <c r="V221" s="75">
        <f>IF(U221&lt;0,-$H221*ABS(U221)^1.85,$H221*ABS(U221)^1.85)</f>
        <v>-0.7909462752043013</v>
      </c>
      <c r="W221" s="78">
        <f>1.85*ABS(V221/U221)</f>
        <v>59.34670697277388</v>
      </c>
      <c r="X221" s="217">
        <f>X220</f>
        <v>0.0006211646065450034</v>
      </c>
      <c r="Y221" s="229">
        <f>U221+X221-X213</f>
        <v>-0.025084188091711198</v>
      </c>
      <c r="Z221" s="75">
        <f>IF(Y221&lt;0,-$H221*ABS(Y221)^1.85,$H221*ABS(Y221)^1.85)</f>
        <v>-0.8165470475835479</v>
      </c>
      <c r="AA221" s="78">
        <f>1.85*ABS(Z221/Y221)</f>
        <v>60.22168357638529</v>
      </c>
      <c r="AB221" s="264">
        <f>AB220</f>
        <v>0.00023944427391821304</v>
      </c>
      <c r="AC221" s="229">
        <f>Y221+AB221-AB213</f>
        <v>-0.02510049596955667</v>
      </c>
      <c r="AD221" s="75">
        <f>IF(AC221&lt;0,-$H221*ABS(AC221)^1.85,$H221*ABS(AC221)^1.85)</f>
        <v>-0.8175294067884197</v>
      </c>
      <c r="AE221" s="78">
        <f>1.85*ABS(AD221/AC221)</f>
        <v>60.25496087379859</v>
      </c>
      <c r="AF221" s="89">
        <f>AF220</f>
        <v>7.600577482346048E-05</v>
      </c>
      <c r="AG221" s="229">
        <f>AC221+AF221-AF213</f>
        <v>-0.025147613251252292</v>
      </c>
      <c r="AH221" s="75">
        <f>IF(AG221&lt;0,-$H221*ABS(AG221)^1.85,$H221*ABS(AG221)^1.85)</f>
        <v>-0.8203707214976291</v>
      </c>
      <c r="AI221" s="78">
        <f>1.85*ABS(AH221/AG221)</f>
        <v>60.35108857477903</v>
      </c>
      <c r="AJ221" s="231">
        <f>AJ220</f>
        <v>3.041685008886161E-05</v>
      </c>
      <c r="AK221" s="229">
        <f>AG221+AJ221-AJ213</f>
        <v>-0.025152923748036182</v>
      </c>
      <c r="AL221" s="75">
        <f>IF(AK221&lt;0,-$H221*ABS(AK221)^1.85,$H221*ABS(AK221)^1.85)</f>
        <v>-0.8206912445229921</v>
      </c>
      <c r="AM221" s="78">
        <f>1.85*ABS(AL221/AK221)</f>
        <v>60.36192124528168</v>
      </c>
      <c r="AN221" s="231">
        <f>AN220</f>
        <v>1.0019698103069828E-05</v>
      </c>
      <c r="AO221" s="229">
        <f>AK221+AN221-AN213</f>
        <v>-0.02515795138950674</v>
      </c>
      <c r="AP221" s="75">
        <f>IF(AO221&lt;0,-$H221*ABS(AO221)^1.85,$H221*ABS(AO221)^1.85)</f>
        <v>-0.820994748401776</v>
      </c>
      <c r="AQ221" s="78">
        <f>1.85*ABS(AP221/AO221)</f>
        <v>60.372176614379924</v>
      </c>
      <c r="AR221" s="234">
        <f>AR220</f>
        <v>3.837502928531808E-06</v>
      </c>
      <c r="AS221" s="229">
        <f>AO221+AR221-AR213</f>
        <v>-0.025158921171955905</v>
      </c>
      <c r="AT221" s="75">
        <f>IF(AS221&lt;0,-$H221*ABS(AS221)^1.85,$H221*ABS(AS221)^1.85)</f>
        <v>-0.8210532972382502</v>
      </c>
      <c r="AU221" s="78">
        <f>1.85*ABS(AT221/AS221)</f>
        <v>60.37415473855459</v>
      </c>
      <c r="AV221" s="234">
        <f>AV220</f>
        <v>1.312185345563459E-06</v>
      </c>
      <c r="AW221" s="241">
        <f>AS221+AV221-AV213</f>
        <v>-0.025159490504551327</v>
      </c>
      <c r="AX221" s="75">
        <f>IF(AW221&lt;0,-$H221*ABS(AW221)^1.85,$H221*ABS(AW221)^1.85)</f>
        <v>-0.8210876705430464</v>
      </c>
      <c r="AY221" s="78">
        <f>1.85*ABS(AX221/AW221)</f>
        <v>60.375316035507474</v>
      </c>
      <c r="AZ221" s="234">
        <f>AZ220</f>
        <v>4.880503314042459E-07</v>
      </c>
      <c r="BA221" s="241">
        <f>AW221+AZ221-AZ213</f>
        <v>-0.025159636106045123</v>
      </c>
      <c r="BB221" s="75">
        <f>IF(BA221&lt;0,-$H221*ABS(BA221)^1.85,$H221*ABS(BA221)^1.85)</f>
        <v>-0.821096461300871</v>
      </c>
      <c r="BC221" s="78">
        <f>1.85*ABS(BB221/BA221)</f>
        <v>60.3756130257239</v>
      </c>
      <c r="BD221" s="243">
        <f>BD220</f>
        <v>1.7056100317547526E-07</v>
      </c>
    </row>
    <row r="222" spans="2:56" ht="15">
      <c r="B222" s="25"/>
      <c r="C222" s="65"/>
      <c r="D222" s="11"/>
      <c r="E222" s="11"/>
      <c r="F222" s="11"/>
      <c r="G222" s="11"/>
      <c r="H222" s="39"/>
      <c r="I222" s="43" t="s">
        <v>104</v>
      </c>
      <c r="J222" s="74">
        <f>SUM(J217:J221)</f>
        <v>3.7073560367537057</v>
      </c>
      <c r="K222" s="74">
        <f>SUM(K217:K221)</f>
        <v>350.36999926411727</v>
      </c>
      <c r="L222" s="6"/>
      <c r="M222" s="203" t="s">
        <v>104</v>
      </c>
      <c r="N222" s="74">
        <f>SUM(N217:N221)</f>
        <v>-2.8468910968196917</v>
      </c>
      <c r="O222" s="74">
        <f>SUM(O217:O221)</f>
        <v>306.71380886132516</v>
      </c>
      <c r="P222" s="218"/>
      <c r="Q222" s="203" t="s">
        <v>104</v>
      </c>
      <c r="R222" s="74">
        <f>SUM(R217:R221)</f>
        <v>-0.47322239431572033</v>
      </c>
      <c r="S222" s="74">
        <f>SUM(S217:S221)</f>
        <v>332.9022336723095</v>
      </c>
      <c r="T222" s="218"/>
      <c r="U222" s="203" t="s">
        <v>104</v>
      </c>
      <c r="V222" s="74">
        <f>SUM(V217:V221)</f>
        <v>-0.20579629580071468</v>
      </c>
      <c r="W222" s="74">
        <f>SUM(W217:W221)</f>
        <v>331.3071827214688</v>
      </c>
      <c r="X222" s="218"/>
      <c r="Y222" s="43" t="s">
        <v>104</v>
      </c>
      <c r="Z222" s="74">
        <f>SUM(Z217:Z221)</f>
        <v>-0.079638126390978</v>
      </c>
      <c r="AA222" s="74">
        <f>SUM(AA217:AA221)</f>
        <v>332.59566030875305</v>
      </c>
      <c r="AB222" s="266"/>
      <c r="AC222" s="43" t="s">
        <v>104</v>
      </c>
      <c r="AD222" s="74">
        <f>SUM(AD217:AD221)</f>
        <v>-0.025280863406011433</v>
      </c>
      <c r="AE222" s="74">
        <f>SUM(AE217:AE221)</f>
        <v>332.6176657593663</v>
      </c>
      <c r="AF222" s="6"/>
      <c r="AG222" s="43" t="s">
        <v>104</v>
      </c>
      <c r="AH222" s="74">
        <f>SUM(AH217:AH221)</f>
        <v>-0.010120697456123984</v>
      </c>
      <c r="AI222" s="74">
        <f>SUM(AI217:AI221)</f>
        <v>332.7332523439071</v>
      </c>
      <c r="AJ222" s="6"/>
      <c r="AK222" s="43" t="s">
        <v>104</v>
      </c>
      <c r="AL222" s="74">
        <f>SUM(AL217:AL221)</f>
        <v>-0.003334021307247692</v>
      </c>
      <c r="AM222" s="74">
        <f>SUM(AM217:AM221)</f>
        <v>332.7466828792194</v>
      </c>
      <c r="AN222" s="6"/>
      <c r="AO222" s="43" t="s">
        <v>104</v>
      </c>
      <c r="AP222" s="74">
        <f>SUM(AP217:AP221)</f>
        <v>-0.0012769629600982713</v>
      </c>
      <c r="AQ222" s="74">
        <f>SUM(AQ217:AQ221)</f>
        <v>332.7588236100253</v>
      </c>
      <c r="AR222" s="77"/>
      <c r="AS222" s="43" t="s">
        <v>104</v>
      </c>
      <c r="AT222" s="74">
        <f>SUM(AT217:AT221)</f>
        <v>-0.00043664442941449</v>
      </c>
      <c r="AU222" s="74">
        <f>SUM(AU217:AU221)</f>
        <v>332.76124511739056</v>
      </c>
      <c r="AV222" s="77"/>
      <c r="AW222" s="43" t="s">
        <v>104</v>
      </c>
      <c r="AX222" s="74">
        <f>SUM(AX217:AX221)</f>
        <v>-0.00016240490940566676</v>
      </c>
      <c r="AY222" s="74">
        <f>SUM(AY217:AY221)</f>
        <v>332.7626249907181</v>
      </c>
      <c r="AZ222" s="77"/>
      <c r="BA222" s="43" t="s">
        <v>104</v>
      </c>
      <c r="BB222" s="74">
        <f>SUM(BB217:BB221)</f>
        <v>-5.675638851687648E-05</v>
      </c>
      <c r="BC222" s="74">
        <f>SUM(BC217:BC221)</f>
        <v>332.7629848570063</v>
      </c>
      <c r="BD222" s="101"/>
    </row>
    <row r="223" spans="2:56" ht="15.75" thickBot="1">
      <c r="B223" s="25"/>
      <c r="C223" s="28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119"/>
      <c r="AC223" s="29"/>
      <c r="AD223" s="122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32"/>
    </row>
    <row r="224" spans="2:30" ht="16.5" thickBot="1" thickTop="1">
      <c r="B224" s="28"/>
      <c r="C224" s="29"/>
      <c r="D224" s="186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6"/>
      <c r="AB224" s="118"/>
      <c r="AC224" s="6"/>
      <c r="AD224" s="6"/>
    </row>
    <row r="225" spans="2:30" ht="15.75" thickTop="1">
      <c r="B225" s="6"/>
      <c r="C225" s="6"/>
      <c r="D225" s="48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118"/>
      <c r="AC225" s="6"/>
      <c r="AD225" s="6"/>
    </row>
    <row r="226" ht="15.75" thickBot="1"/>
    <row r="227" spans="2:28" ht="15.75" thickTop="1">
      <c r="B227" s="2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115">
        <v>7</v>
      </c>
    </row>
    <row r="228" spans="2:28" ht="15">
      <c r="B228" s="2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116"/>
    </row>
    <row r="229" spans="2:28" ht="15.75">
      <c r="B229" s="25"/>
      <c r="C229" s="137" t="s">
        <v>273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137" t="s">
        <v>113</v>
      </c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116"/>
    </row>
    <row r="230" spans="2:28" ht="15">
      <c r="B230" s="2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116"/>
    </row>
    <row r="231" spans="2:28" ht="15.75" thickBot="1">
      <c r="B231" s="25"/>
      <c r="C231" s="172" t="s">
        <v>262</v>
      </c>
      <c r="M231" s="6"/>
      <c r="N231" s="6"/>
      <c r="O231" s="172" t="s">
        <v>263</v>
      </c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116"/>
    </row>
    <row r="232" spans="2:28" ht="19.5" thickTop="1">
      <c r="B232" s="25"/>
      <c r="C232" s="34" t="s">
        <v>75</v>
      </c>
      <c r="D232" s="51"/>
      <c r="E232" s="35" t="s">
        <v>221</v>
      </c>
      <c r="F232" s="35" t="s">
        <v>32</v>
      </c>
      <c r="G232" s="35" t="s">
        <v>212</v>
      </c>
      <c r="H232" s="35" t="s">
        <v>76</v>
      </c>
      <c r="I232" s="35" t="s">
        <v>254</v>
      </c>
      <c r="J232" s="35" t="s">
        <v>253</v>
      </c>
      <c r="K232" s="51"/>
      <c r="L232" s="167" t="s">
        <v>158</v>
      </c>
      <c r="M232" s="6"/>
      <c r="N232" s="6"/>
      <c r="O232" s="26"/>
      <c r="P232" s="27"/>
      <c r="Q232" s="27"/>
      <c r="R232" s="27"/>
      <c r="S232" s="27"/>
      <c r="T232" s="27"/>
      <c r="U232" s="156" t="s">
        <v>151</v>
      </c>
      <c r="V232" s="27"/>
      <c r="W232" s="157"/>
      <c r="X232" s="27"/>
      <c r="Y232" s="30"/>
      <c r="Z232" s="6"/>
      <c r="AA232" s="6"/>
      <c r="AB232" s="116"/>
    </row>
    <row r="233" spans="2:28" ht="15">
      <c r="B233" s="25"/>
      <c r="C233" s="49"/>
      <c r="D233" s="6"/>
      <c r="E233" s="6"/>
      <c r="F233" s="6"/>
      <c r="G233" s="197" t="s">
        <v>99</v>
      </c>
      <c r="H233" s="6"/>
      <c r="I233" s="11" t="s">
        <v>102</v>
      </c>
      <c r="J233" s="11" t="s">
        <v>248</v>
      </c>
      <c r="K233" s="6"/>
      <c r="L233" s="113" t="s">
        <v>257</v>
      </c>
      <c r="M233" s="6"/>
      <c r="N233" s="6"/>
      <c r="O233" s="25"/>
      <c r="P233" s="6"/>
      <c r="Q233" s="104" t="s">
        <v>153</v>
      </c>
      <c r="R233" s="108"/>
      <c r="S233" s="108"/>
      <c r="T233" s="106" t="s">
        <v>133</v>
      </c>
      <c r="U233" s="139" t="s">
        <v>152</v>
      </c>
      <c r="V233" s="82"/>
      <c r="W233" s="138"/>
      <c r="X233" s="164" t="s">
        <v>112</v>
      </c>
      <c r="Y233" s="159"/>
      <c r="Z233" s="6"/>
      <c r="AA233" s="6"/>
      <c r="AB233" s="116"/>
    </row>
    <row r="234" spans="2:28" ht="18">
      <c r="B234" s="25"/>
      <c r="C234" s="36" t="s">
        <v>87</v>
      </c>
      <c r="D234" s="52" t="str">
        <f aca="true" t="shared" si="8" ref="D234:J234">D200</f>
        <v>A-J</v>
      </c>
      <c r="E234" s="52">
        <f t="shared" si="8"/>
        <v>0.2032</v>
      </c>
      <c r="F234" s="52">
        <f t="shared" si="8"/>
        <v>130</v>
      </c>
      <c r="G234" s="52">
        <f t="shared" si="8"/>
        <v>30.48</v>
      </c>
      <c r="H234" s="109">
        <f t="shared" si="8"/>
        <v>92.88057749135359</v>
      </c>
      <c r="I234" s="250">
        <f t="shared" si="8"/>
        <v>0.13335191087239584</v>
      </c>
      <c r="J234" s="272">
        <f t="shared" si="8"/>
        <v>2.234464746530911</v>
      </c>
      <c r="K234" s="82"/>
      <c r="L234" s="71">
        <f>J234/G234*1000</f>
        <v>73.30921084418998</v>
      </c>
      <c r="M234" s="6"/>
      <c r="N234" s="6"/>
      <c r="O234" s="25"/>
      <c r="P234" s="91" t="s">
        <v>143</v>
      </c>
      <c r="Q234" s="92" t="s">
        <v>283</v>
      </c>
      <c r="R234" s="92" t="s">
        <v>116</v>
      </c>
      <c r="S234" s="49" t="s">
        <v>117</v>
      </c>
      <c r="T234" s="140" t="s">
        <v>156</v>
      </c>
      <c r="U234" s="6"/>
      <c r="V234" s="11"/>
      <c r="W234" s="103" t="s">
        <v>138</v>
      </c>
      <c r="X234" s="110" t="s">
        <v>140</v>
      </c>
      <c r="Y234" s="31"/>
      <c r="Z234" s="6"/>
      <c r="AA234" s="6"/>
      <c r="AB234" s="116"/>
    </row>
    <row r="235" spans="2:28" ht="15.75" thickBot="1">
      <c r="B235" s="25"/>
      <c r="C235" s="14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5"/>
      <c r="P235" s="43" t="s">
        <v>0</v>
      </c>
      <c r="Q235" s="107" t="s">
        <v>134</v>
      </c>
      <c r="R235" s="43" t="s">
        <v>134</v>
      </c>
      <c r="S235" s="43" t="s">
        <v>134</v>
      </c>
      <c r="T235" s="42" t="s">
        <v>134</v>
      </c>
      <c r="U235" s="6"/>
      <c r="V235" s="11"/>
      <c r="W235" s="85" t="s">
        <v>1</v>
      </c>
      <c r="X235" s="70" t="s">
        <v>1</v>
      </c>
      <c r="Y235" s="160" t="s">
        <v>139</v>
      </c>
      <c r="Z235" s="6"/>
      <c r="AA235" s="6"/>
      <c r="AB235" s="116"/>
    </row>
    <row r="236" spans="2:28" ht="16.5" thickBot="1" thickTop="1">
      <c r="B236" s="25"/>
      <c r="C236" s="26"/>
      <c r="D236" s="97">
        <v>1</v>
      </c>
      <c r="E236" s="98" t="s">
        <v>111</v>
      </c>
      <c r="F236" s="98"/>
      <c r="G236" s="99"/>
      <c r="H236" s="98">
        <v>12</v>
      </c>
      <c r="I236" s="98" t="s">
        <v>111</v>
      </c>
      <c r="J236" s="98"/>
      <c r="K236" s="98"/>
      <c r="L236" s="151"/>
      <c r="O236" s="150" t="s">
        <v>150</v>
      </c>
      <c r="P236" s="111" t="s">
        <v>33</v>
      </c>
      <c r="Q236" s="42">
        <v>-100</v>
      </c>
      <c r="R236" s="42">
        <v>1200</v>
      </c>
      <c r="S236" s="36">
        <f aca="true" t="shared" si="9" ref="S236:S244">G12</f>
        <v>76.2</v>
      </c>
      <c r="T236" s="87"/>
      <c r="U236" s="43" t="s">
        <v>136</v>
      </c>
      <c r="V236" s="93"/>
      <c r="W236" s="79">
        <f>J234</f>
        <v>2.234464746530911</v>
      </c>
      <c r="X236" s="93"/>
      <c r="Y236" s="161"/>
      <c r="AB236" s="116"/>
    </row>
    <row r="237" spans="2:28" ht="18.75">
      <c r="B237" s="25"/>
      <c r="C237" s="25"/>
      <c r="D237" s="33" t="s">
        <v>75</v>
      </c>
      <c r="E237" s="11" t="s">
        <v>222</v>
      </c>
      <c r="F237" s="11" t="s">
        <v>32</v>
      </c>
      <c r="G237" s="100" t="s">
        <v>212</v>
      </c>
      <c r="H237" s="48" t="s">
        <v>256</v>
      </c>
      <c r="I237" s="11" t="s">
        <v>253</v>
      </c>
      <c r="J237" s="72" t="s">
        <v>101</v>
      </c>
      <c r="K237" s="167" t="s">
        <v>255</v>
      </c>
      <c r="L237" s="165" t="s">
        <v>159</v>
      </c>
      <c r="O237" s="149"/>
      <c r="P237" s="107" t="s">
        <v>25</v>
      </c>
      <c r="Q237" s="43">
        <v>1500</v>
      </c>
      <c r="R237" s="43">
        <v>1200</v>
      </c>
      <c r="S237" s="36">
        <f t="shared" si="9"/>
        <v>30.48</v>
      </c>
      <c r="T237" s="105">
        <f aca="true" t="shared" si="10" ref="T237:T244">$S$236-S237</f>
        <v>45.72</v>
      </c>
      <c r="U237" s="43" t="s">
        <v>135</v>
      </c>
      <c r="V237" s="43" t="s">
        <v>137</v>
      </c>
      <c r="W237" s="89">
        <f>W236+I239</f>
        <v>7.432054473953034</v>
      </c>
      <c r="X237" s="45">
        <f>T237-W237</f>
        <v>38.28794552604697</v>
      </c>
      <c r="Y237" s="162">
        <f>X237/2.307</f>
        <v>16.596421987883385</v>
      </c>
      <c r="AB237" s="116"/>
    </row>
    <row r="238" spans="2:28" ht="15">
      <c r="B238" s="25"/>
      <c r="C238" s="65"/>
      <c r="D238" s="87"/>
      <c r="E238" s="82"/>
      <c r="F238" s="82"/>
      <c r="G238" s="133"/>
      <c r="H238" s="11" t="s">
        <v>105</v>
      </c>
      <c r="I238" s="11" t="s">
        <v>277</v>
      </c>
      <c r="J238" s="11" t="s">
        <v>103</v>
      </c>
      <c r="K238" s="39" t="s">
        <v>309</v>
      </c>
      <c r="L238" s="152" t="s">
        <v>260</v>
      </c>
      <c r="O238" s="149"/>
      <c r="P238" s="107" t="s">
        <v>28</v>
      </c>
      <c r="Q238" s="43">
        <v>1500</v>
      </c>
      <c r="R238" s="43">
        <v>800</v>
      </c>
      <c r="S238" s="36">
        <f t="shared" si="9"/>
        <v>24.384</v>
      </c>
      <c r="T238" s="105">
        <f t="shared" si="10"/>
        <v>51.816</v>
      </c>
      <c r="U238" s="43"/>
      <c r="V238" s="43"/>
      <c r="W238" s="105"/>
      <c r="X238" s="43"/>
      <c r="Y238" s="163"/>
      <c r="AB238" s="116"/>
    </row>
    <row r="239" spans="2:28" ht="15">
      <c r="B239" s="25"/>
      <c r="C239" s="65"/>
      <c r="D239" s="42" t="s">
        <v>70</v>
      </c>
      <c r="E239" s="83">
        <f aca="true" t="shared" si="11" ref="E239:G243">E205</f>
        <v>0.2032</v>
      </c>
      <c r="F239" s="83">
        <f t="shared" si="11"/>
        <v>130</v>
      </c>
      <c r="G239" s="134">
        <f t="shared" si="11"/>
        <v>457.20000000000005</v>
      </c>
      <c r="H239" s="247">
        <f aca="true" t="shared" si="12" ref="H239:K244">BA205</f>
        <v>0.048565684452140594</v>
      </c>
      <c r="I239" s="129">
        <f t="shared" si="12"/>
        <v>5.197589727422123</v>
      </c>
      <c r="J239" s="45">
        <f t="shared" si="12"/>
        <v>197.99043510251838</v>
      </c>
      <c r="K239" s="217">
        <f t="shared" si="12"/>
        <v>1.6609158192198315E-07</v>
      </c>
      <c r="L239" s="273">
        <f>I239/G239*1000</f>
        <v>11.36830649042459</v>
      </c>
      <c r="O239" s="149"/>
      <c r="P239" s="107" t="s">
        <v>31</v>
      </c>
      <c r="Q239" s="43">
        <v>1500</v>
      </c>
      <c r="R239" s="43">
        <v>0</v>
      </c>
      <c r="S239" s="36">
        <f t="shared" si="9"/>
        <v>41.148</v>
      </c>
      <c r="T239" s="105">
        <f t="shared" si="10"/>
        <v>35.052</v>
      </c>
      <c r="U239" s="43" t="s">
        <v>141</v>
      </c>
      <c r="V239" s="112" t="s">
        <v>142</v>
      </c>
      <c r="W239" s="89">
        <f>W236+I239+I240+I253</f>
        <v>12.49332615926274</v>
      </c>
      <c r="X239" s="45">
        <f>T239-W239</f>
        <v>22.55867384073726</v>
      </c>
      <c r="Y239" s="162">
        <f>X239/2.307</f>
        <v>9.778358838637738</v>
      </c>
      <c r="AB239" s="116"/>
    </row>
    <row r="240" spans="2:28" ht="15">
      <c r="B240" s="25"/>
      <c r="C240" s="65" t="s">
        <v>68</v>
      </c>
      <c r="D240" s="43" t="s">
        <v>71</v>
      </c>
      <c r="E240" s="83">
        <f t="shared" si="11"/>
        <v>0.2032</v>
      </c>
      <c r="F240" s="83">
        <f t="shared" si="11"/>
        <v>130</v>
      </c>
      <c r="G240" s="134">
        <f t="shared" si="11"/>
        <v>121.92</v>
      </c>
      <c r="H240" s="247">
        <f t="shared" si="12"/>
        <v>0.04528795313703642</v>
      </c>
      <c r="I240" s="74">
        <f t="shared" si="12"/>
        <v>1.2179490143732594</v>
      </c>
      <c r="J240" s="45">
        <f t="shared" si="12"/>
        <v>49.75287069770132</v>
      </c>
      <c r="K240" s="217">
        <f t="shared" si="12"/>
        <v>1.6609158192198315E-07</v>
      </c>
      <c r="L240" s="166">
        <f>I240/G240*1000</f>
        <v>9.989739291119253</v>
      </c>
      <c r="O240" s="149"/>
      <c r="P240" s="107" t="s">
        <v>30</v>
      </c>
      <c r="Q240" s="43">
        <v>750</v>
      </c>
      <c r="R240" s="43">
        <v>0</v>
      </c>
      <c r="S240" s="36">
        <f t="shared" si="9"/>
        <v>24.384</v>
      </c>
      <c r="T240" s="105">
        <f t="shared" si="10"/>
        <v>51.816</v>
      </c>
      <c r="U240" s="43"/>
      <c r="V240" s="43"/>
      <c r="W240" s="105"/>
      <c r="X240" s="43"/>
      <c r="Y240" s="163"/>
      <c r="AB240" s="116"/>
    </row>
    <row r="241" spans="2:28" ht="15">
      <c r="B241" s="25"/>
      <c r="C241" s="65" t="s">
        <v>69</v>
      </c>
      <c r="D241" s="94" t="s">
        <v>72</v>
      </c>
      <c r="E241" s="83">
        <f t="shared" si="11"/>
        <v>0.2032</v>
      </c>
      <c r="F241" s="83">
        <f t="shared" si="11"/>
        <v>130</v>
      </c>
      <c r="G241" s="134">
        <f t="shared" si="11"/>
        <v>228.60000000000002</v>
      </c>
      <c r="H241" s="247">
        <f t="shared" si="12"/>
        <v>-0.015937387962695216</v>
      </c>
      <c r="I241" s="74">
        <f t="shared" si="12"/>
        <v>-0.33077609598689345</v>
      </c>
      <c r="J241" s="45">
        <f t="shared" si="12"/>
        <v>38.39624027526445</v>
      </c>
      <c r="K241" s="217">
        <f t="shared" si="12"/>
        <v>1.6609158192198315E-07</v>
      </c>
      <c r="L241" s="166">
        <f>I241/G241*1000</f>
        <v>-1.4469645493739869</v>
      </c>
      <c r="O241" s="149"/>
      <c r="P241" s="107" t="s">
        <v>29</v>
      </c>
      <c r="Q241" s="43">
        <v>0</v>
      </c>
      <c r="R241" s="43">
        <v>0</v>
      </c>
      <c r="S241" s="36">
        <f t="shared" si="9"/>
        <v>42.672000000000004</v>
      </c>
      <c r="T241" s="105">
        <f t="shared" si="10"/>
        <v>33.528</v>
      </c>
      <c r="U241" s="43"/>
      <c r="V241" s="43"/>
      <c r="W241" s="105"/>
      <c r="X241" s="43"/>
      <c r="Y241" s="163"/>
      <c r="AB241" s="116"/>
    </row>
    <row r="242" spans="2:28" ht="15">
      <c r="B242" s="25"/>
      <c r="C242" s="65"/>
      <c r="D242" s="96" t="s">
        <v>73</v>
      </c>
      <c r="E242" s="83">
        <f t="shared" si="11"/>
        <v>0.2032</v>
      </c>
      <c r="F242" s="83">
        <f t="shared" si="11"/>
        <v>130</v>
      </c>
      <c r="G242" s="134">
        <f t="shared" si="11"/>
        <v>228.60000000000002</v>
      </c>
      <c r="H242" s="247">
        <f t="shared" si="12"/>
        <v>-0.044374755383844514</v>
      </c>
      <c r="I242" s="74">
        <f t="shared" si="12"/>
        <v>-2.1991960536171202</v>
      </c>
      <c r="J242" s="45">
        <f t="shared" si="12"/>
        <v>91.68529863429723</v>
      </c>
      <c r="K242" s="217">
        <f t="shared" si="12"/>
        <v>1.6609158192198315E-07</v>
      </c>
      <c r="L242" s="166">
        <f>I242/G242*1000</f>
        <v>-9.620280199549956</v>
      </c>
      <c r="O242" s="149"/>
      <c r="P242" s="107" t="s">
        <v>26</v>
      </c>
      <c r="Q242" s="43">
        <v>0</v>
      </c>
      <c r="R242" s="43">
        <v>800</v>
      </c>
      <c r="S242" s="36">
        <f t="shared" si="9"/>
        <v>24.384</v>
      </c>
      <c r="T242" s="105">
        <f t="shared" si="10"/>
        <v>51.816</v>
      </c>
      <c r="U242" s="43"/>
      <c r="V242" s="43"/>
      <c r="W242" s="105"/>
      <c r="X242" s="43"/>
      <c r="Y242" s="163"/>
      <c r="AB242" s="116"/>
    </row>
    <row r="243" spans="2:28" ht="15">
      <c r="B243" s="25"/>
      <c r="C243" s="65"/>
      <c r="D243" s="43" t="s">
        <v>74</v>
      </c>
      <c r="E243" s="83">
        <f t="shared" si="11"/>
        <v>0.2032</v>
      </c>
      <c r="F243" s="83">
        <f t="shared" si="11"/>
        <v>130</v>
      </c>
      <c r="G243" s="134">
        <f t="shared" si="11"/>
        <v>121.92</v>
      </c>
      <c r="H243" s="247">
        <f t="shared" si="12"/>
        <v>-0.08478622642025524</v>
      </c>
      <c r="I243" s="74">
        <f t="shared" si="12"/>
        <v>-3.88564342747912</v>
      </c>
      <c r="J243" s="45">
        <f t="shared" si="12"/>
        <v>84.78311447906437</v>
      </c>
      <c r="K243" s="217">
        <f t="shared" si="12"/>
        <v>1.6609158192198315E-07</v>
      </c>
      <c r="L243" s="166">
        <f>I243/G243*1000</f>
        <v>-31.87043493667257</v>
      </c>
      <c r="O243" s="149"/>
      <c r="P243" s="107" t="s">
        <v>24</v>
      </c>
      <c r="Q243" s="43">
        <v>0</v>
      </c>
      <c r="R243" s="43">
        <v>1200</v>
      </c>
      <c r="S243" s="36">
        <f t="shared" si="9"/>
        <v>36.576</v>
      </c>
      <c r="T243" s="105">
        <f t="shared" si="10"/>
        <v>39.624</v>
      </c>
      <c r="U243" s="43"/>
      <c r="V243" s="43"/>
      <c r="W243" s="105"/>
      <c r="X243" s="43"/>
      <c r="Y243" s="163"/>
      <c r="AB243" s="116"/>
    </row>
    <row r="244" spans="2:28" ht="15">
      <c r="B244" s="25"/>
      <c r="C244" s="65"/>
      <c r="D244" s="11"/>
      <c r="E244" s="11"/>
      <c r="F244" s="11"/>
      <c r="G244" s="100"/>
      <c r="H244" s="247" t="str">
        <f t="shared" si="12"/>
        <v>Sum</v>
      </c>
      <c r="I244" s="74">
        <f t="shared" si="12"/>
        <v>-7.68352877513756E-05</v>
      </c>
      <c r="J244" s="45">
        <f t="shared" si="12"/>
        <v>462.6079591888457</v>
      </c>
      <c r="K244" s="217">
        <f t="shared" si="12"/>
        <v>0</v>
      </c>
      <c r="L244" s="153" t="s">
        <v>0</v>
      </c>
      <c r="O244" s="149"/>
      <c r="P244" s="107" t="s">
        <v>27</v>
      </c>
      <c r="Q244" s="43">
        <v>750</v>
      </c>
      <c r="R244" s="43">
        <v>800</v>
      </c>
      <c r="S244" s="36">
        <f t="shared" si="9"/>
        <v>44.196000000000005</v>
      </c>
      <c r="T244" s="105">
        <f t="shared" si="10"/>
        <v>32.004</v>
      </c>
      <c r="U244" s="43" t="s">
        <v>0</v>
      </c>
      <c r="V244" s="112" t="s">
        <v>0</v>
      </c>
      <c r="W244" s="89"/>
      <c r="X244" s="45"/>
      <c r="Y244" s="102"/>
      <c r="AB244" s="116"/>
    </row>
    <row r="245" spans="2:28" ht="15">
      <c r="B245" s="25"/>
      <c r="C245" s="65"/>
      <c r="D245" s="11"/>
      <c r="E245" s="11"/>
      <c r="F245" s="11"/>
      <c r="G245" s="100"/>
      <c r="H245" s="247"/>
      <c r="I245" s="74"/>
      <c r="J245" s="45"/>
      <c r="K245" s="217"/>
      <c r="L245" s="154"/>
      <c r="O245" s="25"/>
      <c r="P245" s="6"/>
      <c r="Q245" s="6"/>
      <c r="R245" s="6"/>
      <c r="S245" s="6"/>
      <c r="T245" s="6"/>
      <c r="U245" s="6"/>
      <c r="V245" s="11"/>
      <c r="W245" s="6"/>
      <c r="X245" s="6"/>
      <c r="Y245" s="31"/>
      <c r="AB245" s="116"/>
    </row>
    <row r="246" spans="2:28" ht="15">
      <c r="B246" s="25"/>
      <c r="C246" s="25"/>
      <c r="D246" s="96" t="s">
        <v>78</v>
      </c>
      <c r="E246" s="83">
        <f aca="true" t="shared" si="13" ref="E246:G249">E212</f>
        <v>0.2032</v>
      </c>
      <c r="F246" s="83">
        <f t="shared" si="13"/>
        <v>130</v>
      </c>
      <c r="G246" s="134">
        <f t="shared" si="13"/>
        <v>228.60000000000002</v>
      </c>
      <c r="H246" s="247">
        <f aca="true" t="shared" si="14" ref="H246:K250">BA212</f>
        <v>0.044374755383844514</v>
      </c>
      <c r="I246" s="74">
        <f t="shared" si="14"/>
        <v>2.1991960536171202</v>
      </c>
      <c r="J246" s="45">
        <f t="shared" si="14"/>
        <v>91.68529863429723</v>
      </c>
      <c r="K246" s="217">
        <f t="shared" si="14"/>
        <v>2.3834727422826725E-07</v>
      </c>
      <c r="L246" s="166">
        <f>I246/G246*1000</f>
        <v>9.620280199549956</v>
      </c>
      <c r="O246" s="25"/>
      <c r="P246" s="11"/>
      <c r="Q246" s="11"/>
      <c r="R246" s="11"/>
      <c r="S246" s="11"/>
      <c r="T246" s="6"/>
      <c r="U246" s="6"/>
      <c r="V246" s="6"/>
      <c r="W246" s="6"/>
      <c r="X246" s="6"/>
      <c r="Y246" s="100"/>
      <c r="AB246" s="116"/>
    </row>
    <row r="247" spans="2:28" ht="15">
      <c r="B247" s="25"/>
      <c r="C247" s="65" t="s">
        <v>68</v>
      </c>
      <c r="D247" s="95" t="s">
        <v>79</v>
      </c>
      <c r="E247" s="83">
        <f t="shared" si="13"/>
        <v>0.2032</v>
      </c>
      <c r="F247" s="83">
        <f t="shared" si="13"/>
        <v>130</v>
      </c>
      <c r="G247" s="134">
        <f t="shared" si="13"/>
        <v>243.84</v>
      </c>
      <c r="H247" s="247">
        <f t="shared" si="14"/>
        <v>0.02515963610604512</v>
      </c>
      <c r="I247" s="74">
        <f t="shared" si="14"/>
        <v>0.8210964613008703</v>
      </c>
      <c r="J247" s="45">
        <f t="shared" si="14"/>
        <v>60.37561302572386</v>
      </c>
      <c r="K247" s="217">
        <f t="shared" si="14"/>
        <v>2.3834727422826725E-07</v>
      </c>
      <c r="L247" s="166">
        <f>I247/G247*1000</f>
        <v>3.367357534862493</v>
      </c>
      <c r="O247" s="25"/>
      <c r="P247" s="19" t="s">
        <v>274</v>
      </c>
      <c r="Q247" s="11"/>
      <c r="R247" s="11"/>
      <c r="S247" s="11"/>
      <c r="T247" s="6"/>
      <c r="U247" s="19" t="s">
        <v>154</v>
      </c>
      <c r="V247" s="11"/>
      <c r="W247" s="11"/>
      <c r="X247" s="11"/>
      <c r="Y247" s="100"/>
      <c r="AB247" s="116"/>
    </row>
    <row r="248" spans="2:28" ht="15.75" thickBot="1">
      <c r="B248" s="25"/>
      <c r="C248" s="65" t="s">
        <v>77</v>
      </c>
      <c r="D248" s="43" t="s">
        <v>80</v>
      </c>
      <c r="E248" s="83">
        <f t="shared" si="13"/>
        <v>0.2032</v>
      </c>
      <c r="F248" s="83">
        <f t="shared" si="13"/>
        <v>130</v>
      </c>
      <c r="G248" s="134">
        <f t="shared" si="13"/>
        <v>228.60000000000002</v>
      </c>
      <c r="H248" s="247">
        <f t="shared" si="14"/>
        <v>-0.0338560084062024</v>
      </c>
      <c r="I248" s="74">
        <f t="shared" si="14"/>
        <v>-1.333179244929503</v>
      </c>
      <c r="J248" s="45">
        <f t="shared" si="14"/>
        <v>72.84915497208293</v>
      </c>
      <c r="K248" s="217">
        <f t="shared" si="14"/>
        <v>2.3834727422826725E-07</v>
      </c>
      <c r="L248" s="166">
        <f>I248/G248*1000</f>
        <v>-5.831930205290914</v>
      </c>
      <c r="O248" s="28"/>
      <c r="P248" s="67"/>
      <c r="Q248" s="67"/>
      <c r="R248" s="67"/>
      <c r="S248" s="67"/>
      <c r="T248" s="29"/>
      <c r="U248" s="158" t="s">
        <v>155</v>
      </c>
      <c r="V248" s="67"/>
      <c r="W248" s="67"/>
      <c r="X248" s="67"/>
      <c r="Y248" s="136"/>
      <c r="AB248" s="116"/>
    </row>
    <row r="249" spans="2:28" ht="15.75" thickTop="1">
      <c r="B249" s="25"/>
      <c r="C249" s="65"/>
      <c r="D249" s="43" t="s">
        <v>81</v>
      </c>
      <c r="E249" s="83">
        <f t="shared" si="13"/>
        <v>0.2032</v>
      </c>
      <c r="F249" s="83">
        <f t="shared" si="13"/>
        <v>130</v>
      </c>
      <c r="G249" s="134">
        <f t="shared" si="13"/>
        <v>243.84</v>
      </c>
      <c r="H249" s="247">
        <f t="shared" si="14"/>
        <v>-0.03713373972130657</v>
      </c>
      <c r="I249" s="74">
        <f t="shared" si="14"/>
        <v>-1.687186911093787</v>
      </c>
      <c r="J249" s="45">
        <f t="shared" si="14"/>
        <v>84.05551956116531</v>
      </c>
      <c r="K249" s="217">
        <f t="shared" si="14"/>
        <v>2.3834727422826725E-07</v>
      </c>
      <c r="L249" s="166">
        <f>I249/G249*1000</f>
        <v>-6.919237660325569</v>
      </c>
      <c r="AB249" s="116"/>
    </row>
    <row r="250" spans="2:28" ht="15">
      <c r="B250" s="25"/>
      <c r="C250" s="65"/>
      <c r="D250" s="11"/>
      <c r="E250" s="11"/>
      <c r="F250" s="11"/>
      <c r="G250" s="100"/>
      <c r="H250" s="247" t="str">
        <f t="shared" si="14"/>
        <v>Sum</v>
      </c>
      <c r="I250" s="74">
        <f t="shared" si="14"/>
        <v>-7.364110529950452E-05</v>
      </c>
      <c r="J250" s="45">
        <f t="shared" si="14"/>
        <v>308.96558619326936</v>
      </c>
      <c r="K250" s="217">
        <f t="shared" si="14"/>
        <v>0</v>
      </c>
      <c r="L250" s="154"/>
      <c r="AB250" s="116"/>
    </row>
    <row r="251" spans="2:28" ht="15">
      <c r="B251" s="25"/>
      <c r="C251" s="65"/>
      <c r="D251" s="11"/>
      <c r="E251" s="11"/>
      <c r="F251" s="11"/>
      <c r="G251" s="100"/>
      <c r="H251" s="247"/>
      <c r="I251" s="74"/>
      <c r="J251" s="45"/>
      <c r="K251" s="217"/>
      <c r="L251" s="154"/>
      <c r="AB251" s="116"/>
    </row>
    <row r="252" spans="2:28" ht="15">
      <c r="B252" s="25"/>
      <c r="C252" s="65"/>
      <c r="D252" s="94" t="s">
        <v>83</v>
      </c>
      <c r="E252" s="83">
        <f aca="true" t="shared" si="15" ref="E252:G255">E218</f>
        <v>0.2032</v>
      </c>
      <c r="F252" s="83">
        <f t="shared" si="15"/>
        <v>130</v>
      </c>
      <c r="G252" s="134">
        <f t="shared" si="15"/>
        <v>228.60000000000002</v>
      </c>
      <c r="H252" s="247">
        <f aca="true" t="shared" si="16" ref="H252:K256">BA218</f>
        <v>0.015937387962695216</v>
      </c>
      <c r="I252" s="74">
        <f t="shared" si="16"/>
        <v>0.33077609598689345</v>
      </c>
      <c r="J252" s="45">
        <f t="shared" si="16"/>
        <v>38.39624027526445</v>
      </c>
      <c r="K252" s="217">
        <f t="shared" si="16"/>
        <v>1.7056100317547526E-07</v>
      </c>
      <c r="L252" s="166">
        <f>I252/G252*1000</f>
        <v>1.4469645493739869</v>
      </c>
      <c r="AB252" s="116"/>
    </row>
    <row r="253" spans="2:28" ht="15">
      <c r="B253" s="25"/>
      <c r="C253" s="65" t="s">
        <v>68</v>
      </c>
      <c r="D253" s="43" t="s">
        <v>84</v>
      </c>
      <c r="E253" s="83">
        <f t="shared" si="15"/>
        <v>0.2032</v>
      </c>
      <c r="F253" s="83">
        <f t="shared" si="15"/>
        <v>130</v>
      </c>
      <c r="G253" s="134">
        <f t="shared" si="15"/>
        <v>243.84</v>
      </c>
      <c r="H253" s="247">
        <f t="shared" si="16"/>
        <v>0.05794760978462747</v>
      </c>
      <c r="I253" s="74">
        <f t="shared" si="16"/>
        <v>3.8433226709364456</v>
      </c>
      <c r="J253" s="45">
        <f t="shared" si="16"/>
        <v>122.69957238371939</v>
      </c>
      <c r="K253" s="217">
        <f t="shared" si="16"/>
        <v>1.7056100317547526E-07</v>
      </c>
      <c r="L253" s="166">
        <f>I253/G253*1000</f>
        <v>15.761657935270856</v>
      </c>
      <c r="AB253" s="116"/>
    </row>
    <row r="254" spans="2:28" ht="15">
      <c r="B254" s="25"/>
      <c r="C254" s="65" t="s">
        <v>82</v>
      </c>
      <c r="D254" s="43" t="s">
        <v>85</v>
      </c>
      <c r="E254" s="83">
        <f t="shared" si="15"/>
        <v>0.2032</v>
      </c>
      <c r="F254" s="83">
        <f t="shared" si="15"/>
        <v>130</v>
      </c>
      <c r="G254" s="134">
        <f t="shared" si="15"/>
        <v>228.60000000000002</v>
      </c>
      <c r="H254" s="247">
        <f t="shared" si="16"/>
        <v>-0.05573791319714337</v>
      </c>
      <c r="I254" s="74">
        <f t="shared" si="16"/>
        <v>-3.353059062010985</v>
      </c>
      <c r="J254" s="45">
        <f t="shared" si="16"/>
        <v>111.29155917229856</v>
      </c>
      <c r="K254" s="217">
        <f t="shared" si="16"/>
        <v>1.7056100317547526E-07</v>
      </c>
      <c r="L254" s="166">
        <f>I254/G254*1000</f>
        <v>-14.667799921307893</v>
      </c>
      <c r="O254" s="11"/>
      <c r="P254" s="11"/>
      <c r="Q254" s="11"/>
      <c r="R254" s="11"/>
      <c r="S254" s="11"/>
      <c r="T254" s="11"/>
      <c r="U254" s="11"/>
      <c r="AB254" s="116"/>
    </row>
    <row r="255" spans="2:28" ht="15">
      <c r="B255" s="25"/>
      <c r="C255" s="65"/>
      <c r="D255" s="95" t="s">
        <v>86</v>
      </c>
      <c r="E255" s="83">
        <f t="shared" si="15"/>
        <v>0.2032</v>
      </c>
      <c r="F255" s="83">
        <f t="shared" si="15"/>
        <v>130</v>
      </c>
      <c r="G255" s="134">
        <f t="shared" si="15"/>
        <v>243.84</v>
      </c>
      <c r="H255" s="247">
        <f t="shared" si="16"/>
        <v>-0.025159636106045123</v>
      </c>
      <c r="I255" s="74">
        <f t="shared" si="16"/>
        <v>-0.821096461300871</v>
      </c>
      <c r="J255" s="45">
        <f t="shared" si="16"/>
        <v>60.3756130257239</v>
      </c>
      <c r="K255" s="217">
        <f t="shared" si="16"/>
        <v>1.7056100317547526E-07</v>
      </c>
      <c r="L255" s="166">
        <f>I255/G255*1000</f>
        <v>-3.367357534862496</v>
      </c>
      <c r="O255" s="11"/>
      <c r="P255" s="11"/>
      <c r="Q255" s="11"/>
      <c r="R255" s="11"/>
      <c r="S255" s="11"/>
      <c r="T255" s="11"/>
      <c r="U255" s="11"/>
      <c r="AB255" s="116"/>
    </row>
    <row r="256" spans="2:28" ht="15.75" thickBot="1">
      <c r="B256" s="25"/>
      <c r="C256" s="66"/>
      <c r="D256" s="67"/>
      <c r="E256" s="67"/>
      <c r="F256" s="67"/>
      <c r="G256" s="136"/>
      <c r="H256" s="135" t="str">
        <f t="shared" si="16"/>
        <v>Sum</v>
      </c>
      <c r="I256" s="147">
        <f t="shared" si="16"/>
        <v>-5.675638851687648E-05</v>
      </c>
      <c r="J256" s="132">
        <f t="shared" si="16"/>
        <v>332.7629848570063</v>
      </c>
      <c r="K256" s="148">
        <f t="shared" si="16"/>
        <v>0</v>
      </c>
      <c r="L256" s="155"/>
      <c r="M256" s="6"/>
      <c r="N256" s="6"/>
      <c r="O256" s="6"/>
      <c r="P256" s="6"/>
      <c r="Q256" s="6"/>
      <c r="R256" s="6"/>
      <c r="S256" s="6"/>
      <c r="T256" s="6"/>
      <c r="U256" s="6"/>
      <c r="AB256" s="116"/>
    </row>
    <row r="257" spans="2:28" ht="15.75" thickTop="1">
      <c r="B257" s="2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AB257" s="116"/>
    </row>
    <row r="258" spans="2:28" ht="15">
      <c r="B258" s="2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AB258" s="116"/>
    </row>
    <row r="259" spans="2:28" ht="15">
      <c r="B259" s="2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AB259" s="116"/>
    </row>
    <row r="260" spans="2:28" ht="15.75" thickBot="1">
      <c r="B260" s="28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117"/>
    </row>
    <row r="261" ht="15.75" thickTop="1"/>
    <row r="263" ht="15.75" thickBot="1"/>
    <row r="264" spans="2:28" ht="15.75" thickTop="1">
      <c r="B264" s="26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115">
        <v>8</v>
      </c>
    </row>
    <row r="265" spans="2:29" ht="15">
      <c r="B265" s="25"/>
      <c r="C265" s="6" t="s">
        <v>114</v>
      </c>
      <c r="D265" s="6"/>
      <c r="E265" s="6"/>
      <c r="F265" s="6"/>
      <c r="G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11"/>
      <c r="Y265" s="11"/>
      <c r="Z265" s="11"/>
      <c r="AA265" s="11"/>
      <c r="AB265" s="259"/>
      <c r="AC265" s="114"/>
    </row>
    <row r="266" spans="2:29" ht="15">
      <c r="B266" s="25"/>
      <c r="C266" s="6"/>
      <c r="D266" s="6"/>
      <c r="E266" s="6"/>
      <c r="F266" s="6"/>
      <c r="G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259"/>
      <c r="AC266" s="114"/>
    </row>
    <row r="267" spans="2:28" ht="15">
      <c r="B267" s="2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V267" s="6"/>
      <c r="W267" s="6"/>
      <c r="X267" s="6"/>
      <c r="Y267" s="6"/>
      <c r="Z267" s="6"/>
      <c r="AA267" s="6"/>
      <c r="AB267" s="116"/>
    </row>
    <row r="268" spans="2:28" ht="15">
      <c r="B268" s="25"/>
      <c r="C268" s="172" t="s">
        <v>311</v>
      </c>
      <c r="D268" s="6"/>
      <c r="E268" s="6"/>
      <c r="F268" s="6"/>
      <c r="G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116"/>
    </row>
    <row r="269" spans="2:28" ht="15">
      <c r="B269" s="25"/>
      <c r="C269" s="6" t="s">
        <v>312</v>
      </c>
      <c r="D269" s="1"/>
      <c r="E269" s="11"/>
      <c r="F269" s="1"/>
      <c r="G269" s="1"/>
      <c r="H269" s="48"/>
      <c r="I269" s="1"/>
      <c r="J269" s="1"/>
      <c r="K269" s="1"/>
      <c r="L269" s="6"/>
      <c r="M269" s="6"/>
      <c r="N269" s="6"/>
      <c r="O269" s="6"/>
      <c r="P269" s="6"/>
      <c r="Q269" s="6"/>
      <c r="R269" s="6"/>
      <c r="S269" s="6"/>
      <c r="T269" s="6"/>
      <c r="V269" s="6"/>
      <c r="W269" s="6"/>
      <c r="X269" s="6"/>
      <c r="AA269" s="6"/>
      <c r="AB269" s="116"/>
    </row>
    <row r="270" spans="2:28" ht="15">
      <c r="B270" s="25"/>
      <c r="C270" s="34" t="s">
        <v>118</v>
      </c>
      <c r="D270" s="41" t="s">
        <v>119</v>
      </c>
      <c r="E270" s="41" t="s">
        <v>32</v>
      </c>
      <c r="F270" s="41" t="s">
        <v>120</v>
      </c>
      <c r="G270" s="41" t="s">
        <v>33</v>
      </c>
      <c r="H270" s="34" t="s">
        <v>121</v>
      </c>
      <c r="I270" s="38" t="s">
        <v>122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AA270" s="6"/>
      <c r="AB270" s="116"/>
    </row>
    <row r="271" spans="2:28" ht="17.25">
      <c r="B271" s="25"/>
      <c r="C271" s="36"/>
      <c r="D271" s="42" t="s">
        <v>241</v>
      </c>
      <c r="E271" s="42" t="s">
        <v>2</v>
      </c>
      <c r="F271" s="42" t="s">
        <v>241</v>
      </c>
      <c r="G271" s="42" t="s">
        <v>259</v>
      </c>
      <c r="H271" s="36" t="s">
        <v>258</v>
      </c>
      <c r="I271" s="39" t="s">
        <v>244</v>
      </c>
      <c r="L271" s="6"/>
      <c r="M271" s="6"/>
      <c r="N271" s="6"/>
      <c r="O271" s="6"/>
      <c r="P271" s="6"/>
      <c r="Q271" s="6"/>
      <c r="R271" s="6"/>
      <c r="S271" s="6"/>
      <c r="T271" s="6"/>
      <c r="V271" s="6"/>
      <c r="W271" s="6"/>
      <c r="X271" s="6"/>
      <c r="Y271" s="146"/>
      <c r="AA271" s="6"/>
      <c r="AB271" s="116"/>
    </row>
    <row r="272" spans="2:28" ht="15">
      <c r="B272" s="25"/>
      <c r="C272" s="42" t="s">
        <v>87</v>
      </c>
      <c r="D272" s="42">
        <f>J143</f>
        <v>0.2032</v>
      </c>
      <c r="E272" s="42">
        <f>K143</f>
        <v>130</v>
      </c>
      <c r="F272" s="42">
        <f>L143</f>
        <v>30.48</v>
      </c>
      <c r="G272" s="76">
        <f>(PI()/4)*D272^2</f>
        <v>0.03242927866223985</v>
      </c>
      <c r="H272" s="86">
        <f>I234</f>
        <v>0.13335191087239584</v>
      </c>
      <c r="I272" s="188">
        <f aca="true" t="shared" si="17" ref="I272:I282">H272/G272</f>
        <v>4.1120837827228245</v>
      </c>
      <c r="L272" s="6"/>
      <c r="M272" s="6"/>
      <c r="N272" s="6"/>
      <c r="O272" s="6"/>
      <c r="P272" s="6"/>
      <c r="Q272" s="6"/>
      <c r="R272" s="6"/>
      <c r="S272" s="6"/>
      <c r="T272" s="6"/>
      <c r="X272" s="146"/>
      <c r="Y272" s="146"/>
      <c r="AA272" s="6"/>
      <c r="AB272" s="116"/>
    </row>
    <row r="273" spans="2:28" ht="15">
      <c r="B273" s="25"/>
      <c r="C273" s="43" t="s">
        <v>124</v>
      </c>
      <c r="D273" s="43">
        <f aca="true" t="shared" si="18" ref="D273:F274">J127</f>
        <v>0.2032</v>
      </c>
      <c r="E273" s="43">
        <f t="shared" si="18"/>
        <v>130</v>
      </c>
      <c r="F273" s="43">
        <f t="shared" si="18"/>
        <v>457.20000000000005</v>
      </c>
      <c r="G273" s="76">
        <f aca="true" t="shared" si="19" ref="G273:G282">(PI()/4)*D273^2</f>
        <v>0.03242927866223985</v>
      </c>
      <c r="H273" s="78">
        <f>H239</f>
        <v>0.048565684452140594</v>
      </c>
      <c r="I273" s="188">
        <f t="shared" si="17"/>
        <v>1.4975875645575096</v>
      </c>
      <c r="L273" s="6"/>
      <c r="M273" s="6"/>
      <c r="N273" s="6"/>
      <c r="O273" s="6"/>
      <c r="P273" s="6"/>
      <c r="Q273" s="6"/>
      <c r="R273" s="6"/>
      <c r="S273" s="6"/>
      <c r="T273" s="6"/>
      <c r="X273" s="146"/>
      <c r="Y273" s="146"/>
      <c r="AA273" s="6"/>
      <c r="AB273" s="116"/>
    </row>
    <row r="274" spans="2:28" ht="15">
      <c r="B274" s="25"/>
      <c r="C274" s="43" t="s">
        <v>125</v>
      </c>
      <c r="D274" s="43">
        <f t="shared" si="18"/>
        <v>0.2032</v>
      </c>
      <c r="E274" s="43">
        <f t="shared" si="18"/>
        <v>130</v>
      </c>
      <c r="F274" s="43">
        <f t="shared" si="18"/>
        <v>121.92</v>
      </c>
      <c r="G274" s="76">
        <f t="shared" si="19"/>
        <v>0.03242927866223985</v>
      </c>
      <c r="H274" s="78">
        <f>H240</f>
        <v>0.04528795313703642</v>
      </c>
      <c r="I274" s="188">
        <f t="shared" si="17"/>
        <v>1.3965143538566898</v>
      </c>
      <c r="L274" s="6"/>
      <c r="M274" s="6"/>
      <c r="N274" s="6"/>
      <c r="O274" s="6"/>
      <c r="P274" s="6"/>
      <c r="Q274" s="6"/>
      <c r="R274" s="6"/>
      <c r="S274" s="6"/>
      <c r="T274" s="6"/>
      <c r="X274" s="146"/>
      <c r="Y274" s="146"/>
      <c r="AA274" s="6"/>
      <c r="AB274" s="116"/>
    </row>
    <row r="275" spans="2:28" ht="15">
      <c r="B275" s="25"/>
      <c r="C275" s="43" t="s">
        <v>126</v>
      </c>
      <c r="D275" s="43">
        <f aca="true" t="shared" si="20" ref="D275:F276">J139</f>
        <v>0.2032</v>
      </c>
      <c r="E275" s="43">
        <f t="shared" si="20"/>
        <v>130</v>
      </c>
      <c r="F275" s="43">
        <f t="shared" si="20"/>
        <v>243.84</v>
      </c>
      <c r="G275" s="76">
        <f t="shared" si="19"/>
        <v>0.03242927866223985</v>
      </c>
      <c r="H275" s="78">
        <f>H253</f>
        <v>0.05794760978462747</v>
      </c>
      <c r="I275" s="188">
        <f t="shared" si="17"/>
        <v>1.7868917279403063</v>
      </c>
      <c r="L275" s="6"/>
      <c r="M275" s="6"/>
      <c r="N275" s="6"/>
      <c r="O275" s="6"/>
      <c r="P275" s="6"/>
      <c r="Q275" s="6"/>
      <c r="R275" s="6"/>
      <c r="S275" s="6"/>
      <c r="T275" s="6"/>
      <c r="X275" s="146"/>
      <c r="Y275" s="146"/>
      <c r="AA275" s="6"/>
      <c r="AB275" s="116"/>
    </row>
    <row r="276" spans="2:28" ht="15">
      <c r="B276" s="25"/>
      <c r="C276" s="43" t="s">
        <v>127</v>
      </c>
      <c r="D276" s="43">
        <f t="shared" si="20"/>
        <v>0.2032</v>
      </c>
      <c r="E276" s="43">
        <f t="shared" si="20"/>
        <v>130</v>
      </c>
      <c r="F276" s="43">
        <f t="shared" si="20"/>
        <v>228.60000000000002</v>
      </c>
      <c r="G276" s="76">
        <f t="shared" si="19"/>
        <v>0.03242927866223985</v>
      </c>
      <c r="H276" s="78">
        <f>H254</f>
        <v>-0.05573791319714337</v>
      </c>
      <c r="I276" s="188">
        <f t="shared" si="17"/>
        <v>-1.7187527905776</v>
      </c>
      <c r="L276" s="6"/>
      <c r="M276" s="6"/>
      <c r="N276" s="6"/>
      <c r="O276" s="6"/>
      <c r="P276" s="6"/>
      <c r="Q276" s="6"/>
      <c r="R276" s="6"/>
      <c r="S276" s="6"/>
      <c r="T276" s="6"/>
      <c r="X276" s="146"/>
      <c r="Y276" s="146"/>
      <c r="AA276" s="6"/>
      <c r="AB276" s="116"/>
    </row>
    <row r="277" spans="2:28" ht="15">
      <c r="B277" s="25"/>
      <c r="C277" s="43" t="s">
        <v>128</v>
      </c>
      <c r="D277" s="43">
        <f aca="true" t="shared" si="21" ref="D277:F278">J135</f>
        <v>0.2032</v>
      </c>
      <c r="E277" s="43">
        <f t="shared" si="21"/>
        <v>130</v>
      </c>
      <c r="F277" s="43">
        <f t="shared" si="21"/>
        <v>228.60000000000002</v>
      </c>
      <c r="G277" s="76">
        <f t="shared" si="19"/>
        <v>0.03242927866223985</v>
      </c>
      <c r="H277" s="78">
        <f>H248</f>
        <v>-0.0338560084062024</v>
      </c>
      <c r="I277" s="188">
        <f t="shared" si="17"/>
        <v>-1.0439951119117492</v>
      </c>
      <c r="L277" s="6"/>
      <c r="M277" s="6"/>
      <c r="N277" s="6"/>
      <c r="O277" s="6"/>
      <c r="P277" s="6"/>
      <c r="Q277" s="6"/>
      <c r="R277" s="6"/>
      <c r="S277" s="6"/>
      <c r="T277" s="6"/>
      <c r="X277" s="146"/>
      <c r="Y277" s="146"/>
      <c r="AA277" s="6"/>
      <c r="AB277" s="116"/>
    </row>
    <row r="278" spans="2:28" ht="15">
      <c r="B278" s="25"/>
      <c r="C278" s="43" t="s">
        <v>129</v>
      </c>
      <c r="D278" s="43">
        <f t="shared" si="21"/>
        <v>0.2032</v>
      </c>
      <c r="E278" s="43">
        <f t="shared" si="21"/>
        <v>130</v>
      </c>
      <c r="F278" s="43">
        <f t="shared" si="21"/>
        <v>243.84</v>
      </c>
      <c r="G278" s="76">
        <f t="shared" si="19"/>
        <v>0.03242927866223985</v>
      </c>
      <c r="H278" s="78">
        <f>H249</f>
        <v>-0.03713373972130657</v>
      </c>
      <c r="I278" s="188">
        <f t="shared" si="17"/>
        <v>-1.145068322612569</v>
      </c>
      <c r="L278" s="6"/>
      <c r="M278" s="6"/>
      <c r="N278" s="6"/>
      <c r="O278" s="6"/>
      <c r="P278" s="6"/>
      <c r="Q278" s="6"/>
      <c r="R278" s="6"/>
      <c r="S278" s="6"/>
      <c r="T278" s="6"/>
      <c r="W278" s="6"/>
      <c r="AA278" s="6"/>
      <c r="AB278" s="116"/>
    </row>
    <row r="279" spans="2:28" ht="15">
      <c r="B279" s="25"/>
      <c r="C279" s="43" t="s">
        <v>130</v>
      </c>
      <c r="D279" s="43">
        <f>J131</f>
        <v>0.2032</v>
      </c>
      <c r="E279" s="43">
        <f>K131</f>
        <v>130</v>
      </c>
      <c r="F279" s="43">
        <f>L131</f>
        <v>121.92</v>
      </c>
      <c r="G279" s="76">
        <f t="shared" si="19"/>
        <v>0.03242927866223985</v>
      </c>
      <c r="H279" s="78">
        <f>H243</f>
        <v>-0.08478622642025524</v>
      </c>
      <c r="I279" s="188">
        <f t="shared" si="17"/>
        <v>-2.614496218165315</v>
      </c>
      <c r="L279" s="6"/>
      <c r="M279" s="6"/>
      <c r="N279" s="6"/>
      <c r="O279" s="6"/>
      <c r="P279" s="6"/>
      <c r="Q279" s="6"/>
      <c r="R279" s="6"/>
      <c r="S279" s="6"/>
      <c r="T279" s="6"/>
      <c r="W279" s="6"/>
      <c r="AA279" s="6"/>
      <c r="AB279" s="116"/>
    </row>
    <row r="280" spans="2:28" ht="15">
      <c r="B280" s="25"/>
      <c r="C280" s="43" t="s">
        <v>198</v>
      </c>
      <c r="D280" s="43">
        <f>J130</f>
        <v>0.2032</v>
      </c>
      <c r="E280" s="43">
        <f>K130</f>
        <v>130</v>
      </c>
      <c r="F280" s="43">
        <f>L130</f>
        <v>228.60000000000002</v>
      </c>
      <c r="G280" s="76">
        <f t="shared" si="19"/>
        <v>0.03242927866223985</v>
      </c>
      <c r="H280" s="78">
        <f>H246</f>
        <v>0.044374755383844514</v>
      </c>
      <c r="I280" s="188">
        <f t="shared" si="17"/>
        <v>1.3683546848519264</v>
      </c>
      <c r="L280" s="6"/>
      <c r="M280" s="6"/>
      <c r="N280" s="6"/>
      <c r="O280" s="6"/>
      <c r="P280" s="6"/>
      <c r="Q280" s="6"/>
      <c r="R280" s="6"/>
      <c r="S280" s="6"/>
      <c r="T280" s="6"/>
      <c r="W280" s="6"/>
      <c r="AA280" s="6"/>
      <c r="AB280" s="116"/>
    </row>
    <row r="281" spans="2:28" ht="15">
      <c r="B281" s="25"/>
      <c r="C281" s="43" t="s">
        <v>199</v>
      </c>
      <c r="D281" s="43">
        <f>J129</f>
        <v>0.2032</v>
      </c>
      <c r="E281" s="43">
        <f>K129</f>
        <v>130</v>
      </c>
      <c r="F281" s="43">
        <f>L129</f>
        <v>228.60000000000002</v>
      </c>
      <c r="G281" s="76">
        <f t="shared" si="19"/>
        <v>0.03242927866223985</v>
      </c>
      <c r="H281" s="78">
        <f>H252</f>
        <v>0.015937387962695216</v>
      </c>
      <c r="I281" s="188">
        <f t="shared" si="17"/>
        <v>0.49145058478443626</v>
      </c>
      <c r="L281" s="6"/>
      <c r="M281" s="6"/>
      <c r="N281" s="6"/>
      <c r="O281" s="6"/>
      <c r="P281" s="6"/>
      <c r="Q281" s="6"/>
      <c r="R281" s="6"/>
      <c r="S281" s="6"/>
      <c r="T281" s="6"/>
      <c r="W281" s="6"/>
      <c r="AA281" s="6"/>
      <c r="AB281" s="116"/>
    </row>
    <row r="282" spans="2:28" ht="15">
      <c r="B282" s="25"/>
      <c r="C282" s="43" t="s">
        <v>200</v>
      </c>
      <c r="D282" s="43">
        <f>J141</f>
        <v>0.2032</v>
      </c>
      <c r="E282" s="43">
        <f>K141</f>
        <v>130</v>
      </c>
      <c r="F282" s="43">
        <f>L141</f>
        <v>243.84</v>
      </c>
      <c r="G282" s="76">
        <f t="shared" si="19"/>
        <v>0.03242927866223985</v>
      </c>
      <c r="H282" s="78">
        <f>H247</f>
        <v>0.02515963610604512</v>
      </c>
      <c r="I282" s="188">
        <f t="shared" si="17"/>
        <v>0.77583088936667</v>
      </c>
      <c r="L282" s="6"/>
      <c r="M282" s="6"/>
      <c r="N282" s="6"/>
      <c r="O282" s="6"/>
      <c r="P282" s="6"/>
      <c r="Q282" s="6"/>
      <c r="R282" s="6"/>
      <c r="S282" s="6"/>
      <c r="T282" s="6"/>
      <c r="W282" s="6"/>
      <c r="AA282" s="6"/>
      <c r="AB282" s="116"/>
    </row>
    <row r="283" spans="2:28" ht="15">
      <c r="B283" s="25"/>
      <c r="C283" s="6"/>
      <c r="D283" s="6"/>
      <c r="E283" s="6"/>
      <c r="F283" s="6"/>
      <c r="G283" s="6"/>
      <c r="H283" s="6"/>
      <c r="I283" s="6"/>
      <c r="J283" s="6"/>
      <c r="K283" s="6"/>
      <c r="L283" s="6"/>
      <c r="O283" s="6"/>
      <c r="P283" s="6"/>
      <c r="Q283" s="6"/>
      <c r="W283" s="6"/>
      <c r="AA283" s="6"/>
      <c r="AB283" s="116"/>
    </row>
    <row r="284" spans="2:28" ht="15">
      <c r="B284" s="25"/>
      <c r="C284" s="6"/>
      <c r="D284" s="6"/>
      <c r="E284" s="6"/>
      <c r="F284" s="6"/>
      <c r="G284" s="6"/>
      <c r="H284" s="6"/>
      <c r="I284" s="6"/>
      <c r="J284" s="6"/>
      <c r="K284" s="6"/>
      <c r="L284" s="6"/>
      <c r="O284" s="6"/>
      <c r="P284" s="6"/>
      <c r="Q284" s="6"/>
      <c r="W284" s="6"/>
      <c r="AA284" s="6"/>
      <c r="AB284" s="116"/>
    </row>
    <row r="285" spans="2:28" ht="15">
      <c r="B285" s="25"/>
      <c r="C285" s="6"/>
      <c r="D285" s="6"/>
      <c r="E285" s="6"/>
      <c r="F285" s="6"/>
      <c r="G285" s="6"/>
      <c r="H285" s="6"/>
      <c r="I285" s="6"/>
      <c r="J285" s="6"/>
      <c r="K285" s="6"/>
      <c r="L285" s="6"/>
      <c r="O285" s="6"/>
      <c r="P285" s="6"/>
      <c r="Q285" s="6"/>
      <c r="W285" s="6"/>
      <c r="X285" s="6"/>
      <c r="Y285" s="6"/>
      <c r="Z285" s="6"/>
      <c r="AA285" s="6"/>
      <c r="AB285" s="116"/>
    </row>
    <row r="286" spans="2:29" ht="15">
      <c r="B286" s="25"/>
      <c r="C286" s="6"/>
      <c r="D286" s="6"/>
      <c r="E286" s="6"/>
      <c r="F286" s="6"/>
      <c r="G286" s="6"/>
      <c r="H286" s="6"/>
      <c r="I286" s="6"/>
      <c r="J286" s="6"/>
      <c r="K286" s="6"/>
      <c r="L286" s="6"/>
      <c r="O286" s="6"/>
      <c r="P286" s="6"/>
      <c r="Q286" s="6"/>
      <c r="W286" s="6"/>
      <c r="X286" s="6"/>
      <c r="Y286" s="6"/>
      <c r="Z286" s="6"/>
      <c r="AA286" s="6"/>
      <c r="AB286" s="259"/>
      <c r="AC286" s="114"/>
    </row>
    <row r="287" spans="2:29" ht="15">
      <c r="B287" s="25"/>
      <c r="C287" s="6"/>
      <c r="D287" s="6"/>
      <c r="E287" s="6"/>
      <c r="F287" s="6"/>
      <c r="G287" s="6"/>
      <c r="H287" s="6"/>
      <c r="I287" s="6"/>
      <c r="J287" s="6"/>
      <c r="K287" s="6"/>
      <c r="L287" s="6"/>
      <c r="O287" s="6"/>
      <c r="P287" s="6"/>
      <c r="Q287" s="6"/>
      <c r="W287" s="6"/>
      <c r="X287" s="6"/>
      <c r="Y287" s="6"/>
      <c r="Z287" s="6"/>
      <c r="AA287" s="6"/>
      <c r="AB287" s="259"/>
      <c r="AC287" s="114"/>
    </row>
    <row r="288" spans="2:29" ht="15">
      <c r="B288" s="25"/>
      <c r="C288" s="6"/>
      <c r="D288" s="6"/>
      <c r="E288" s="6"/>
      <c r="F288" s="6"/>
      <c r="G288" s="6"/>
      <c r="H288" s="6"/>
      <c r="I288" s="6"/>
      <c r="J288" s="6"/>
      <c r="K288" s="6"/>
      <c r="L288" s="6"/>
      <c r="O288" s="6"/>
      <c r="P288" s="6"/>
      <c r="Q288" s="6"/>
      <c r="W288" s="6"/>
      <c r="X288" s="6"/>
      <c r="Y288" s="6"/>
      <c r="Z288" s="6"/>
      <c r="AA288" s="6"/>
      <c r="AB288" s="259"/>
      <c r="AC288" s="114"/>
    </row>
    <row r="289" spans="2:29" ht="15">
      <c r="B289" s="25"/>
      <c r="C289" s="6"/>
      <c r="D289" s="6"/>
      <c r="E289" s="6"/>
      <c r="F289" s="6"/>
      <c r="G289" s="6"/>
      <c r="H289" s="6"/>
      <c r="I289" s="6"/>
      <c r="J289" s="6"/>
      <c r="K289" s="6"/>
      <c r="L289" s="6"/>
      <c r="O289" s="6"/>
      <c r="P289" s="6"/>
      <c r="Q289" s="6"/>
      <c r="W289" s="6"/>
      <c r="X289" s="6"/>
      <c r="Y289" s="6"/>
      <c r="Z289" s="6"/>
      <c r="AA289" s="6"/>
      <c r="AB289" s="259"/>
      <c r="AC289" s="114"/>
    </row>
    <row r="290" spans="2:29" ht="15">
      <c r="B290" s="25"/>
      <c r="C290" s="6"/>
      <c r="D290" s="6"/>
      <c r="E290" s="6"/>
      <c r="F290" s="6"/>
      <c r="G290" s="6"/>
      <c r="H290" s="6"/>
      <c r="I290" s="6"/>
      <c r="J290" s="6"/>
      <c r="K290" s="6"/>
      <c r="L290" s="6"/>
      <c r="O290" s="6"/>
      <c r="P290" s="6"/>
      <c r="Q290" s="6"/>
      <c r="V290" s="6"/>
      <c r="W290" s="6"/>
      <c r="X290" s="6"/>
      <c r="Y290" s="6"/>
      <c r="Z290" s="6"/>
      <c r="AA290" s="6"/>
      <c r="AB290" s="259"/>
      <c r="AC290" s="114"/>
    </row>
    <row r="291" spans="2:29" ht="15">
      <c r="B291" s="25"/>
      <c r="C291" s="6"/>
      <c r="D291" s="6"/>
      <c r="E291" s="6"/>
      <c r="F291" s="6"/>
      <c r="G291" s="6"/>
      <c r="H291" s="6"/>
      <c r="I291" s="6"/>
      <c r="J291" s="6"/>
      <c r="K291" s="6"/>
      <c r="L291" s="6"/>
      <c r="O291" s="6"/>
      <c r="P291" s="6"/>
      <c r="Q291" s="6"/>
      <c r="V291" s="6"/>
      <c r="W291" s="6"/>
      <c r="X291" s="6"/>
      <c r="Y291" s="6"/>
      <c r="Z291" s="6"/>
      <c r="AA291" s="6"/>
      <c r="AB291" s="259"/>
      <c r="AC291" s="114"/>
    </row>
    <row r="292" spans="2:29" ht="15">
      <c r="B292" s="25"/>
      <c r="C292" s="6"/>
      <c r="D292" s="6"/>
      <c r="E292" s="6"/>
      <c r="F292" s="6"/>
      <c r="G292" s="6"/>
      <c r="H292" s="6"/>
      <c r="I292" s="6"/>
      <c r="J292" s="6"/>
      <c r="K292" s="6"/>
      <c r="L292" s="6"/>
      <c r="V292" s="6"/>
      <c r="W292" s="6"/>
      <c r="X292" s="6"/>
      <c r="Y292" s="6"/>
      <c r="Z292" s="6"/>
      <c r="AA292" s="6"/>
      <c r="AB292" s="259"/>
      <c r="AC292" s="114"/>
    </row>
    <row r="293" spans="2:29" ht="15">
      <c r="B293" s="25"/>
      <c r="C293" s="6"/>
      <c r="D293" s="6"/>
      <c r="E293" s="6"/>
      <c r="F293" s="6"/>
      <c r="G293" s="6"/>
      <c r="H293" s="6"/>
      <c r="I293" s="6"/>
      <c r="J293" s="6"/>
      <c r="K293" s="6"/>
      <c r="L293" s="6"/>
      <c r="V293" s="6"/>
      <c r="W293" s="6"/>
      <c r="X293" s="6"/>
      <c r="Y293" s="6"/>
      <c r="Z293" s="6"/>
      <c r="AA293" s="6"/>
      <c r="AB293" s="259"/>
      <c r="AC293" s="114"/>
    </row>
    <row r="294" spans="2:29" ht="15">
      <c r="B294" s="25"/>
      <c r="C294" s="6"/>
      <c r="D294" s="6"/>
      <c r="E294" s="6"/>
      <c r="F294" s="6"/>
      <c r="G294" s="6"/>
      <c r="H294" s="6"/>
      <c r="I294" s="6"/>
      <c r="J294" s="6"/>
      <c r="K294" s="6"/>
      <c r="L294" s="6"/>
      <c r="V294" s="6"/>
      <c r="W294" s="6"/>
      <c r="X294" s="6"/>
      <c r="Y294" s="6"/>
      <c r="Z294" s="6"/>
      <c r="AA294" s="6"/>
      <c r="AB294" s="259"/>
      <c r="AC294" s="114"/>
    </row>
    <row r="295" spans="2:29" ht="15">
      <c r="B295" s="25"/>
      <c r="C295" s="6"/>
      <c r="D295" s="6"/>
      <c r="E295" s="6"/>
      <c r="F295" s="6"/>
      <c r="G295" s="6"/>
      <c r="H295" s="6"/>
      <c r="I295" s="6"/>
      <c r="J295" s="6"/>
      <c r="K295" s="6"/>
      <c r="L295" s="6"/>
      <c r="V295" s="6"/>
      <c r="W295" s="6"/>
      <c r="X295" s="6"/>
      <c r="Y295" s="6"/>
      <c r="Z295" s="6"/>
      <c r="AA295" s="6"/>
      <c r="AB295" s="259"/>
      <c r="AC295" s="114"/>
    </row>
    <row r="296" spans="2:29" ht="15">
      <c r="B296" s="25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259"/>
      <c r="AC296" s="114"/>
    </row>
    <row r="297" spans="2:29" ht="15">
      <c r="B297" s="2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259"/>
      <c r="AC297" s="114"/>
    </row>
    <row r="298" spans="2:29" ht="15.75" thickBot="1">
      <c r="B298" s="28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60"/>
      <c r="AC298" s="114"/>
    </row>
    <row r="299" spans="28:29" ht="15.75" thickTop="1">
      <c r="AB299" s="255"/>
      <c r="AC299" s="114"/>
    </row>
    <row r="300" spans="28:29" ht="15">
      <c r="AB300" s="255"/>
      <c r="AC300" s="114"/>
    </row>
    <row r="301" spans="28:29" ht="15.75" thickBot="1">
      <c r="AB301" s="255"/>
      <c r="AC301" s="114"/>
    </row>
    <row r="302" spans="2:29" ht="15.75" thickTop="1">
      <c r="B302" s="2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115">
        <v>9</v>
      </c>
      <c r="AC302" s="114"/>
    </row>
    <row r="303" spans="2:29" ht="15">
      <c r="B303" s="25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259"/>
      <c r="AC303" s="114"/>
    </row>
    <row r="304" spans="2:29" ht="15">
      <c r="B304" s="25"/>
      <c r="C304" s="6"/>
      <c r="D304" s="145" t="s">
        <v>264</v>
      </c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170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259"/>
      <c r="AC304" s="114"/>
    </row>
    <row r="305" spans="2:29" ht="15">
      <c r="B305" s="25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259"/>
      <c r="AC305" s="114"/>
    </row>
    <row r="306" spans="2:29" ht="17.25">
      <c r="B306" s="25"/>
      <c r="C306" s="6"/>
      <c r="D306" s="6" t="s">
        <v>313</v>
      </c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171" t="s">
        <v>266</v>
      </c>
      <c r="S306" s="6"/>
      <c r="T306" s="6"/>
      <c r="U306" s="6"/>
      <c r="V306" s="6"/>
      <c r="W306" s="6"/>
      <c r="X306" s="6"/>
      <c r="Y306" s="6"/>
      <c r="Z306" s="6"/>
      <c r="AA306" s="6"/>
      <c r="AB306" s="259"/>
      <c r="AC306" s="114"/>
    </row>
    <row r="307" spans="2:28" ht="15.75">
      <c r="B307" s="25"/>
      <c r="C307" s="6"/>
      <c r="D307" s="34" t="s">
        <v>118</v>
      </c>
      <c r="E307" s="41" t="s">
        <v>119</v>
      </c>
      <c r="F307" s="41" t="s">
        <v>32</v>
      </c>
      <c r="G307" s="41" t="s">
        <v>120</v>
      </c>
      <c r="H307" s="41" t="s">
        <v>33</v>
      </c>
      <c r="I307" s="34" t="s">
        <v>121</v>
      </c>
      <c r="J307" s="38" t="s">
        <v>122</v>
      </c>
      <c r="K307" s="41" t="s">
        <v>123</v>
      </c>
      <c r="M307" s="6"/>
      <c r="N307" s="6"/>
      <c r="O307" s="6"/>
      <c r="P307" s="6"/>
      <c r="Q307" s="6"/>
      <c r="R307" s="64" t="s">
        <v>0</v>
      </c>
      <c r="S307" s="6"/>
      <c r="T307" s="11"/>
      <c r="U307" s="6"/>
      <c r="V307" s="6"/>
      <c r="W307" s="6"/>
      <c r="X307" s="6"/>
      <c r="Y307" s="6"/>
      <c r="Z307" s="6"/>
      <c r="AA307" s="6"/>
      <c r="AB307" s="116"/>
    </row>
    <row r="308" spans="2:28" ht="17.25">
      <c r="B308" s="25"/>
      <c r="C308" s="6"/>
      <c r="D308" s="36"/>
      <c r="E308" s="42" t="s">
        <v>241</v>
      </c>
      <c r="F308" s="42" t="s">
        <v>2</v>
      </c>
      <c r="G308" s="42" t="s">
        <v>241</v>
      </c>
      <c r="H308" s="42" t="s">
        <v>259</v>
      </c>
      <c r="I308" s="36" t="s">
        <v>258</v>
      </c>
      <c r="J308" s="40" t="s">
        <v>244</v>
      </c>
      <c r="K308" s="142" t="s">
        <v>260</v>
      </c>
      <c r="M308" s="6"/>
      <c r="N308" s="6"/>
      <c r="O308" s="6"/>
      <c r="P308" s="6" t="s">
        <v>66</v>
      </c>
      <c r="Q308" s="6"/>
      <c r="R308" s="7"/>
      <c r="S308" s="6"/>
      <c r="T308" s="208">
        <f>I310</f>
        <v>0.048565684452140594</v>
      </c>
      <c r="U308" s="6"/>
      <c r="V308" s="6"/>
      <c r="W308" s="6"/>
      <c r="X308" s="6"/>
      <c r="Y308" s="6"/>
      <c r="Z308" s="6"/>
      <c r="AA308" s="6"/>
      <c r="AB308" s="116"/>
    </row>
    <row r="309" spans="2:28" ht="15">
      <c r="B309" s="25"/>
      <c r="C309" s="6"/>
      <c r="D309" s="42" t="s">
        <v>87</v>
      </c>
      <c r="E309" s="42">
        <f aca="true" t="shared" si="22" ref="E309:J312">D272</f>
        <v>0.2032</v>
      </c>
      <c r="F309" s="42">
        <f t="shared" si="22"/>
        <v>130</v>
      </c>
      <c r="G309" s="42">
        <f t="shared" si="22"/>
        <v>30.48</v>
      </c>
      <c r="H309" s="224">
        <f t="shared" si="22"/>
        <v>0.03242927866223985</v>
      </c>
      <c r="I309" s="76">
        <f t="shared" si="22"/>
        <v>0.13335191087239584</v>
      </c>
      <c r="J309" s="176">
        <f t="shared" si="22"/>
        <v>4.1120837827228245</v>
      </c>
      <c r="K309" s="81">
        <f>L234</f>
        <v>73.30921084418998</v>
      </c>
      <c r="M309" s="6"/>
      <c r="N309" s="6"/>
      <c r="O309" s="6"/>
      <c r="P309" s="170">
        <f>I309</f>
        <v>0.13335191087239584</v>
      </c>
      <c r="Q309" s="9" t="s">
        <v>24</v>
      </c>
      <c r="R309" s="10">
        <f>F324</f>
        <v>196.66387890624998</v>
      </c>
      <c r="S309" s="11"/>
      <c r="T309" s="11"/>
      <c r="U309" s="11"/>
      <c r="V309" s="11"/>
      <c r="W309" s="10">
        <f>F325</f>
        <v>196.66387890624998</v>
      </c>
      <c r="X309" s="6" t="s">
        <v>25</v>
      </c>
      <c r="Y309" s="6"/>
      <c r="Z309" s="6"/>
      <c r="AA309" s="6"/>
      <c r="AB309" s="116"/>
    </row>
    <row r="310" spans="2:28" ht="15">
      <c r="B310" s="25"/>
      <c r="C310" s="6"/>
      <c r="D310" s="43" t="s">
        <v>124</v>
      </c>
      <c r="E310" s="42">
        <f t="shared" si="22"/>
        <v>0.2032</v>
      </c>
      <c r="F310" s="42">
        <f t="shared" si="22"/>
        <v>130</v>
      </c>
      <c r="G310" s="42">
        <f t="shared" si="22"/>
        <v>457.20000000000005</v>
      </c>
      <c r="H310" s="224">
        <f t="shared" si="22"/>
        <v>0.03242927866223985</v>
      </c>
      <c r="I310" s="76">
        <f t="shared" si="22"/>
        <v>0.048565684452140594</v>
      </c>
      <c r="J310" s="176">
        <f t="shared" si="22"/>
        <v>1.4975875645575096</v>
      </c>
      <c r="K310" s="188">
        <f>L239</f>
        <v>11.36830649042459</v>
      </c>
      <c r="M310" s="6"/>
      <c r="N310" s="6"/>
      <c r="O310" s="6"/>
      <c r="P310" s="6"/>
      <c r="Q310" s="9"/>
      <c r="R310" s="11"/>
      <c r="S310" s="11"/>
      <c r="T310" s="11"/>
      <c r="U310" s="11"/>
      <c r="V310" s="11"/>
      <c r="W310" s="11"/>
      <c r="X310" s="6"/>
      <c r="Y310" s="6"/>
      <c r="Z310" s="6"/>
      <c r="AA310" s="6"/>
      <c r="AB310" s="116"/>
    </row>
    <row r="311" spans="2:28" ht="15">
      <c r="B311" s="25"/>
      <c r="C311" s="6"/>
      <c r="D311" s="43" t="s">
        <v>125</v>
      </c>
      <c r="E311" s="42">
        <f t="shared" si="22"/>
        <v>0.2032</v>
      </c>
      <c r="F311" s="42">
        <f t="shared" si="22"/>
        <v>130</v>
      </c>
      <c r="G311" s="42">
        <f t="shared" si="22"/>
        <v>121.92</v>
      </c>
      <c r="H311" s="224">
        <f t="shared" si="22"/>
        <v>0.03242927866223985</v>
      </c>
      <c r="I311" s="76">
        <f t="shared" si="22"/>
        <v>0.04528795313703642</v>
      </c>
      <c r="J311" s="176">
        <f t="shared" si="22"/>
        <v>1.3965143538566898</v>
      </c>
      <c r="K311" s="81">
        <f>L240</f>
        <v>9.989739291119253</v>
      </c>
      <c r="M311" s="6"/>
      <c r="N311" s="6"/>
      <c r="O311" s="6"/>
      <c r="P311" s="6"/>
      <c r="Q311" s="251">
        <f>I316</f>
        <v>0.08478622642025524</v>
      </c>
      <c r="R311" s="193"/>
      <c r="S311" s="193"/>
      <c r="T311" s="193"/>
      <c r="U311" s="193"/>
      <c r="V311" s="193"/>
      <c r="W311" s="193"/>
      <c r="X311" s="215"/>
      <c r="Y311" s="6"/>
      <c r="Z311" s="6"/>
      <c r="AA311" s="6"/>
      <c r="AB311" s="116"/>
    </row>
    <row r="312" spans="2:28" ht="15">
      <c r="B312" s="25"/>
      <c r="C312" s="6"/>
      <c r="D312" s="43" t="s">
        <v>126</v>
      </c>
      <c r="E312" s="42">
        <f t="shared" si="22"/>
        <v>0.2032</v>
      </c>
      <c r="F312" s="42">
        <f t="shared" si="22"/>
        <v>130</v>
      </c>
      <c r="G312" s="42">
        <f t="shared" si="22"/>
        <v>243.84</v>
      </c>
      <c r="H312" s="224">
        <f t="shared" si="22"/>
        <v>0.03242927866223985</v>
      </c>
      <c r="I312" s="76">
        <f t="shared" si="22"/>
        <v>0.05794760978462747</v>
      </c>
      <c r="J312" s="176">
        <f t="shared" si="22"/>
        <v>1.7868917279403063</v>
      </c>
      <c r="K312" s="81">
        <f>L253</f>
        <v>15.761657935270856</v>
      </c>
      <c r="M312" s="6"/>
      <c r="N312" s="6"/>
      <c r="O312" s="6"/>
      <c r="P312" s="6"/>
      <c r="Q312" s="252"/>
      <c r="R312" s="193"/>
      <c r="S312" s="193"/>
      <c r="T312" s="193"/>
      <c r="U312" s="193"/>
      <c r="V312" s="193"/>
      <c r="W312" s="193"/>
      <c r="X312" s="209">
        <f>I311</f>
        <v>0.04528795313703642</v>
      </c>
      <c r="Y312" s="6"/>
      <c r="Z312" s="6"/>
      <c r="AA312" s="6"/>
      <c r="AB312" s="116"/>
    </row>
    <row r="313" spans="2:28" ht="15">
      <c r="B313" s="25"/>
      <c r="C313" s="6"/>
      <c r="D313" s="43" t="s">
        <v>163</v>
      </c>
      <c r="E313" s="42">
        <f aca="true" t="shared" si="23" ref="E313:H319">D276</f>
        <v>0.2032</v>
      </c>
      <c r="F313" s="42">
        <f t="shared" si="23"/>
        <v>130</v>
      </c>
      <c r="G313" s="42">
        <f t="shared" si="23"/>
        <v>228.60000000000002</v>
      </c>
      <c r="H313" s="224">
        <f t="shared" si="23"/>
        <v>0.03242927866223985</v>
      </c>
      <c r="I313" s="76">
        <f>-H276</f>
        <v>0.05573791319714337</v>
      </c>
      <c r="J313" s="176">
        <f aca="true" t="shared" si="24" ref="J313:J319">I276</f>
        <v>-1.7187527905776</v>
      </c>
      <c r="K313" s="81">
        <f>L254</f>
        <v>-14.667799921307893</v>
      </c>
      <c r="M313" s="6"/>
      <c r="N313" s="6"/>
      <c r="O313" s="6"/>
      <c r="P313" s="6"/>
      <c r="Q313" s="9"/>
      <c r="R313" s="11"/>
      <c r="S313" s="11"/>
      <c r="T313" s="11"/>
      <c r="U313" s="11"/>
      <c r="V313" s="11"/>
      <c r="W313" s="11"/>
      <c r="X313" s="6"/>
      <c r="Y313" s="6"/>
      <c r="Z313" s="6"/>
      <c r="AA313" s="6"/>
      <c r="AB313" s="116"/>
    </row>
    <row r="314" spans="2:28" ht="15">
      <c r="B314" s="25"/>
      <c r="C314" s="6"/>
      <c r="D314" s="43" t="s">
        <v>164</v>
      </c>
      <c r="E314" s="42">
        <f t="shared" si="23"/>
        <v>0.2032</v>
      </c>
      <c r="F314" s="42">
        <f t="shared" si="23"/>
        <v>130</v>
      </c>
      <c r="G314" s="42">
        <f t="shared" si="23"/>
        <v>228.60000000000002</v>
      </c>
      <c r="H314" s="224">
        <f t="shared" si="23"/>
        <v>0.03242927866223985</v>
      </c>
      <c r="I314" s="76">
        <f>-H277</f>
        <v>0.0338560084062024</v>
      </c>
      <c r="J314" s="176">
        <f t="shared" si="24"/>
        <v>-1.0439951119117492</v>
      </c>
      <c r="K314" s="81">
        <f>L248</f>
        <v>-5.831930205290914</v>
      </c>
      <c r="M314" s="6"/>
      <c r="N314" s="6"/>
      <c r="O314" s="6"/>
      <c r="P314" s="6"/>
      <c r="Q314" s="9" t="s">
        <v>26</v>
      </c>
      <c r="R314" s="11"/>
      <c r="S314" s="253">
        <f>I317</f>
        <v>0.044374755383844514</v>
      </c>
      <c r="T314" s="9" t="s">
        <v>27</v>
      </c>
      <c r="U314" s="6"/>
      <c r="V314" s="253">
        <f>I318</f>
        <v>0.015937387962695216</v>
      </c>
      <c r="W314" s="11"/>
      <c r="X314" s="6" t="s">
        <v>28</v>
      </c>
      <c r="Y314" s="6"/>
      <c r="Z314" s="6"/>
      <c r="AA314" s="6"/>
      <c r="AB314" s="116"/>
    </row>
    <row r="315" spans="2:28" ht="15">
      <c r="B315" s="25"/>
      <c r="C315" s="6"/>
      <c r="D315" s="43" t="s">
        <v>166</v>
      </c>
      <c r="E315" s="42">
        <f t="shared" si="23"/>
        <v>0.2032</v>
      </c>
      <c r="F315" s="42">
        <f t="shared" si="23"/>
        <v>130</v>
      </c>
      <c r="G315" s="42">
        <f t="shared" si="23"/>
        <v>243.84</v>
      </c>
      <c r="H315" s="224">
        <f t="shared" si="23"/>
        <v>0.03242927866223985</v>
      </c>
      <c r="I315" s="76">
        <f>-H278</f>
        <v>0.03713373972130657</v>
      </c>
      <c r="J315" s="176">
        <f t="shared" si="24"/>
        <v>-1.145068322612569</v>
      </c>
      <c r="K315" s="81">
        <f>L249</f>
        <v>-6.919237660325569</v>
      </c>
      <c r="M315" s="6"/>
      <c r="N315" s="6"/>
      <c r="O315" s="6"/>
      <c r="P315" s="6"/>
      <c r="Q315" s="9" t="s">
        <v>0</v>
      </c>
      <c r="R315" s="10">
        <f>F326</f>
        <v>196.66387890624998</v>
      </c>
      <c r="S315" s="11"/>
      <c r="T315" s="11"/>
      <c r="U315" s="10">
        <f>F327</f>
        <v>196.66387890624998</v>
      </c>
      <c r="V315" s="11"/>
      <c r="W315" s="10">
        <f>F328</f>
        <v>196.66387890624998</v>
      </c>
      <c r="X315" s="6"/>
      <c r="Y315" s="6"/>
      <c r="Z315" s="6"/>
      <c r="AA315" s="6"/>
      <c r="AB315" s="116"/>
    </row>
    <row r="316" spans="2:28" ht="15">
      <c r="B316" s="25"/>
      <c r="C316" s="6"/>
      <c r="D316" s="43" t="s">
        <v>165</v>
      </c>
      <c r="E316" s="42">
        <f t="shared" si="23"/>
        <v>0.2032</v>
      </c>
      <c r="F316" s="42">
        <f t="shared" si="23"/>
        <v>130</v>
      </c>
      <c r="G316" s="42">
        <f t="shared" si="23"/>
        <v>121.92</v>
      </c>
      <c r="H316" s="224">
        <f t="shared" si="23"/>
        <v>0.03242927866223985</v>
      </c>
      <c r="I316" s="76">
        <f>-H279</f>
        <v>0.08478622642025524</v>
      </c>
      <c r="J316" s="176">
        <f t="shared" si="24"/>
        <v>-2.614496218165315</v>
      </c>
      <c r="K316" s="81">
        <f>L243</f>
        <v>-31.87043493667257</v>
      </c>
      <c r="M316" s="6"/>
      <c r="N316" s="6"/>
      <c r="O316" s="6"/>
      <c r="P316" s="6"/>
      <c r="Q316" s="9"/>
      <c r="R316" s="11"/>
      <c r="S316" s="11"/>
      <c r="T316" s="11"/>
      <c r="U316" s="11"/>
      <c r="V316" s="11"/>
      <c r="W316" s="11"/>
      <c r="X316" s="6"/>
      <c r="Y316" s="6"/>
      <c r="Z316" s="6"/>
      <c r="AA316" s="6"/>
      <c r="AB316" s="116"/>
    </row>
    <row r="317" spans="2:28" ht="15">
      <c r="B317" s="25"/>
      <c r="C317" s="6"/>
      <c r="D317" s="43" t="s">
        <v>144</v>
      </c>
      <c r="E317" s="42">
        <f t="shared" si="23"/>
        <v>0.2032</v>
      </c>
      <c r="F317" s="42">
        <f t="shared" si="23"/>
        <v>130</v>
      </c>
      <c r="G317" s="42">
        <f t="shared" si="23"/>
        <v>228.60000000000002</v>
      </c>
      <c r="H317" s="224">
        <f t="shared" si="23"/>
        <v>0.03242927866223985</v>
      </c>
      <c r="I317" s="76">
        <f>H280</f>
        <v>0.044374755383844514</v>
      </c>
      <c r="J317" s="176">
        <f t="shared" si="24"/>
        <v>1.3683546848519264</v>
      </c>
      <c r="K317" s="81">
        <f>L242</f>
        <v>-9.620280199549956</v>
      </c>
      <c r="M317" s="6"/>
      <c r="N317" s="6"/>
      <c r="O317" s="6"/>
      <c r="P317" s="6"/>
      <c r="Q317" s="251">
        <f>I315</f>
        <v>0.03713373972130657</v>
      </c>
      <c r="R317" s="11"/>
      <c r="S317" s="11"/>
      <c r="T317" s="11"/>
      <c r="U317" s="169">
        <f>I319</f>
        <v>0.02515963610604512</v>
      </c>
      <c r="V317" s="11"/>
      <c r="W317" s="11"/>
      <c r="X317" s="6"/>
      <c r="Y317" s="6"/>
      <c r="Z317" s="6"/>
      <c r="AA317" s="6"/>
      <c r="AB317" s="116"/>
    </row>
    <row r="318" spans="2:28" ht="15">
      <c r="B318" s="25"/>
      <c r="C318" s="6"/>
      <c r="D318" s="43" t="s">
        <v>131</v>
      </c>
      <c r="E318" s="42">
        <f t="shared" si="23"/>
        <v>0.2032</v>
      </c>
      <c r="F318" s="42">
        <f t="shared" si="23"/>
        <v>130</v>
      </c>
      <c r="G318" s="42">
        <f t="shared" si="23"/>
        <v>228.60000000000002</v>
      </c>
      <c r="H318" s="224">
        <f t="shared" si="23"/>
        <v>0.03242927866223985</v>
      </c>
      <c r="I318" s="76">
        <f>H281</f>
        <v>0.015937387962695216</v>
      </c>
      <c r="J318" s="176">
        <f t="shared" si="24"/>
        <v>0.49145058478443626</v>
      </c>
      <c r="K318" s="81">
        <f>L241</f>
        <v>-1.4469645493739869</v>
      </c>
      <c r="M318" s="6"/>
      <c r="N318" s="6"/>
      <c r="O318" s="6"/>
      <c r="P318" s="6"/>
      <c r="Q318" s="9"/>
      <c r="R318" s="11"/>
      <c r="S318" s="11"/>
      <c r="T318" s="11"/>
      <c r="U318" s="11"/>
      <c r="V318" s="11"/>
      <c r="W318" s="11"/>
      <c r="X318" s="209">
        <f>I312</f>
        <v>0.05794760978462747</v>
      </c>
      <c r="Y318" s="6"/>
      <c r="Z318" s="6"/>
      <c r="AA318" s="6"/>
      <c r="AB318" s="116"/>
    </row>
    <row r="319" spans="2:28" ht="15">
      <c r="B319" s="25"/>
      <c r="C319" s="6"/>
      <c r="D319" s="43" t="s">
        <v>132</v>
      </c>
      <c r="E319" s="42">
        <f t="shared" si="23"/>
        <v>0.2032</v>
      </c>
      <c r="F319" s="42">
        <f t="shared" si="23"/>
        <v>130</v>
      </c>
      <c r="G319" s="42">
        <f t="shared" si="23"/>
        <v>243.84</v>
      </c>
      <c r="H319" s="224">
        <f t="shared" si="23"/>
        <v>0.03242927866223985</v>
      </c>
      <c r="I319" s="76">
        <f>H282</f>
        <v>0.02515963610604512</v>
      </c>
      <c r="J319" s="176">
        <f t="shared" si="24"/>
        <v>0.77583088936667</v>
      </c>
      <c r="K319" s="81">
        <f>L255</f>
        <v>-3.367357534862496</v>
      </c>
      <c r="M319" s="6"/>
      <c r="N319" s="6"/>
      <c r="O319" s="6"/>
      <c r="P319" s="6"/>
      <c r="Q319" s="9"/>
      <c r="R319" s="11"/>
      <c r="S319" s="11"/>
      <c r="T319" s="11"/>
      <c r="U319" s="11"/>
      <c r="V319" s="11"/>
      <c r="W319" s="11"/>
      <c r="X319" s="6"/>
      <c r="Y319" s="6"/>
      <c r="Z319" s="6"/>
      <c r="AA319" s="6"/>
      <c r="AB319" s="116"/>
    </row>
    <row r="320" spans="2:28" ht="15">
      <c r="B320" s="25"/>
      <c r="C320" s="6"/>
      <c r="D320" s="6"/>
      <c r="E320" s="6"/>
      <c r="F320" s="6"/>
      <c r="G320" s="6"/>
      <c r="H320" s="6"/>
      <c r="I320" s="6"/>
      <c r="J320" s="6"/>
      <c r="K320" s="6"/>
      <c r="L320" s="47"/>
      <c r="M320" s="6"/>
      <c r="N320" s="6"/>
      <c r="O320" s="6"/>
      <c r="P320" s="6"/>
      <c r="Q320" s="6"/>
      <c r="R320" s="11"/>
      <c r="S320" s="11"/>
      <c r="T320" s="11"/>
      <c r="U320" s="11"/>
      <c r="V320" s="11"/>
      <c r="W320" s="11"/>
      <c r="X320" s="6"/>
      <c r="Y320" s="6"/>
      <c r="Z320" s="6"/>
      <c r="AA320" s="6"/>
      <c r="AB320" s="116"/>
    </row>
    <row r="321" spans="2:28" ht="15">
      <c r="B321" s="25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 t="s">
        <v>67</v>
      </c>
      <c r="Q321" s="9" t="s">
        <v>29</v>
      </c>
      <c r="R321" s="10">
        <f>F329</f>
        <v>196.66387890624998</v>
      </c>
      <c r="S321" s="11"/>
      <c r="T321" s="9" t="s">
        <v>30</v>
      </c>
      <c r="U321" s="10">
        <f>F330</f>
        <v>196.66387890624998</v>
      </c>
      <c r="V321" s="11"/>
      <c r="W321" s="14">
        <f>F331</f>
        <v>6821.131378906251</v>
      </c>
      <c r="X321" s="6" t="s">
        <v>31</v>
      </c>
      <c r="Y321" s="6"/>
      <c r="Z321" s="6"/>
      <c r="AA321" s="6"/>
      <c r="AB321" s="116"/>
    </row>
    <row r="322" spans="2:28" ht="15">
      <c r="B322" s="25"/>
      <c r="C322" s="6"/>
      <c r="D322" s="6" t="s">
        <v>161</v>
      </c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208">
        <f>I314</f>
        <v>0.0338560084062024</v>
      </c>
      <c r="T322" s="215"/>
      <c r="U322" s="215"/>
      <c r="V322" s="208">
        <f>I313</f>
        <v>0.05573791319714337</v>
      </c>
      <c r="W322" s="215"/>
      <c r="X322" s="6"/>
      <c r="Y322" s="6"/>
      <c r="Z322" s="6"/>
      <c r="AA322" s="6"/>
      <c r="AB322" s="116"/>
    </row>
    <row r="323" spans="2:28" ht="15">
      <c r="B323" s="25"/>
      <c r="C323" s="6"/>
      <c r="D323" s="47" t="s">
        <v>265</v>
      </c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215"/>
      <c r="T323" s="215"/>
      <c r="U323" s="215"/>
      <c r="V323" s="215"/>
      <c r="W323" s="215"/>
      <c r="X323" s="6"/>
      <c r="Y323" s="6"/>
      <c r="Z323" s="6"/>
      <c r="AA323" s="6"/>
      <c r="AB323" s="116"/>
    </row>
    <row r="324" spans="2:28" ht="15">
      <c r="B324" s="25"/>
      <c r="C324" s="6"/>
      <c r="D324" s="43" t="s">
        <v>50</v>
      </c>
      <c r="E324" s="43" t="s">
        <v>17</v>
      </c>
      <c r="F324" s="89">
        <f aca="true" t="shared" si="25" ref="F324:F331">P51</f>
        <v>196.66387890624998</v>
      </c>
      <c r="G324" s="93" t="s">
        <v>214</v>
      </c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116"/>
    </row>
    <row r="325" spans="2:28" ht="15">
      <c r="B325" s="25"/>
      <c r="C325" s="6"/>
      <c r="D325" s="43" t="s">
        <v>42</v>
      </c>
      <c r="E325" s="43" t="s">
        <v>17</v>
      </c>
      <c r="F325" s="89">
        <f t="shared" si="25"/>
        <v>196.66387890624998</v>
      </c>
      <c r="G325" s="93" t="s">
        <v>214</v>
      </c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116"/>
    </row>
    <row r="326" spans="2:28" ht="15">
      <c r="B326" s="25"/>
      <c r="C326" s="6"/>
      <c r="D326" s="43" t="s">
        <v>51</v>
      </c>
      <c r="E326" s="43" t="s">
        <v>17</v>
      </c>
      <c r="F326" s="89">
        <f t="shared" si="25"/>
        <v>196.66387890624998</v>
      </c>
      <c r="G326" s="93" t="s">
        <v>214</v>
      </c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116"/>
    </row>
    <row r="327" spans="2:28" ht="15">
      <c r="B327" s="25"/>
      <c r="C327" s="6"/>
      <c r="D327" s="43" t="s">
        <v>52</v>
      </c>
      <c r="E327" s="43" t="s">
        <v>17</v>
      </c>
      <c r="F327" s="89">
        <f t="shared" si="25"/>
        <v>196.66387890624998</v>
      </c>
      <c r="G327" s="93" t="s">
        <v>214</v>
      </c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116"/>
    </row>
    <row r="328" spans="2:28" ht="15">
      <c r="B328" s="25"/>
      <c r="C328" s="6"/>
      <c r="D328" s="43" t="s">
        <v>53</v>
      </c>
      <c r="E328" s="43" t="s">
        <v>17</v>
      </c>
      <c r="F328" s="89">
        <f t="shared" si="25"/>
        <v>196.66387890624998</v>
      </c>
      <c r="G328" s="93" t="s">
        <v>214</v>
      </c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116"/>
    </row>
    <row r="329" spans="2:28" ht="15">
      <c r="B329" s="25"/>
      <c r="C329" s="6"/>
      <c r="D329" s="43" t="s">
        <v>47</v>
      </c>
      <c r="E329" s="43" t="s">
        <v>17</v>
      </c>
      <c r="F329" s="89">
        <f t="shared" si="25"/>
        <v>196.66387890624998</v>
      </c>
      <c r="G329" s="93" t="s">
        <v>214</v>
      </c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116"/>
    </row>
    <row r="330" spans="2:28" ht="15">
      <c r="B330" s="25"/>
      <c r="C330" s="6"/>
      <c r="D330" s="43" t="s">
        <v>49</v>
      </c>
      <c r="E330" s="43" t="s">
        <v>17</v>
      </c>
      <c r="F330" s="89">
        <f t="shared" si="25"/>
        <v>196.66387890624998</v>
      </c>
      <c r="G330" s="93" t="s">
        <v>214</v>
      </c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116"/>
    </row>
    <row r="331" spans="2:28" ht="15">
      <c r="B331" s="25"/>
      <c r="C331" s="6"/>
      <c r="D331" s="43" t="s">
        <v>54</v>
      </c>
      <c r="E331" s="43" t="s">
        <v>55</v>
      </c>
      <c r="F331" s="89">
        <f t="shared" si="25"/>
        <v>6821.131378906251</v>
      </c>
      <c r="G331" s="93" t="s">
        <v>214</v>
      </c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116"/>
    </row>
    <row r="332" spans="2:28" ht="15">
      <c r="B332" s="25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116"/>
    </row>
    <row r="333" spans="2:28" ht="15">
      <c r="B333" s="25"/>
      <c r="C333" s="6"/>
      <c r="D333" s="50" t="s">
        <v>19</v>
      </c>
      <c r="E333" s="51"/>
      <c r="F333" s="51"/>
      <c r="G333" s="54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116"/>
    </row>
    <row r="334" spans="2:28" ht="15">
      <c r="B334" s="25"/>
      <c r="C334" s="6"/>
      <c r="D334" s="36" t="s">
        <v>20</v>
      </c>
      <c r="E334" s="53">
        <f>O64</f>
        <v>8197.77853125</v>
      </c>
      <c r="F334" s="82" t="s">
        <v>214</v>
      </c>
      <c r="G334" s="138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116"/>
    </row>
    <row r="335" spans="2:28" ht="15">
      <c r="B335" s="25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116"/>
    </row>
    <row r="336" spans="1:33" ht="15.75" thickBot="1">
      <c r="A336" s="6"/>
      <c r="B336" s="28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117"/>
      <c r="AC336" s="6"/>
      <c r="AD336" s="6"/>
      <c r="AE336" s="6"/>
      <c r="AF336" s="6"/>
      <c r="AG336" s="6"/>
    </row>
    <row r="337" spans="1:33" ht="15.75" thickTop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118"/>
      <c r="AC337" s="6"/>
      <c r="AD337" s="6"/>
      <c r="AE337" s="6"/>
      <c r="AF337" s="6"/>
      <c r="AG337" s="6"/>
    </row>
    <row r="338" spans="1:33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118"/>
      <c r="AC338" s="6"/>
      <c r="AD338" s="6"/>
      <c r="AE338" s="6"/>
      <c r="AF338" s="6"/>
      <c r="AG338" s="6"/>
    </row>
    <row r="339" spans="1:33" ht="15.75" thickBo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118"/>
      <c r="AC339" s="6"/>
      <c r="AD339" s="6"/>
      <c r="AE339" s="6"/>
      <c r="AF339" s="6"/>
      <c r="AG339" s="6"/>
    </row>
    <row r="340" spans="1:33" ht="15.75" thickTop="1">
      <c r="A340" s="6"/>
      <c r="B340" s="2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8"/>
      <c r="AC340" s="27"/>
      <c r="AD340" s="115">
        <v>10</v>
      </c>
      <c r="AE340" s="6"/>
      <c r="AF340" s="6"/>
      <c r="AG340" s="6"/>
    </row>
    <row r="341" spans="2:33" ht="15">
      <c r="B341" s="25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31"/>
      <c r="AE341" s="6"/>
      <c r="AF341" s="6"/>
      <c r="AG341" s="6"/>
    </row>
    <row r="342" spans="2:33" ht="15">
      <c r="B342" s="25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118"/>
      <c r="AD342" s="31"/>
      <c r="AE342" s="6"/>
      <c r="AF342" s="6"/>
      <c r="AG342" s="6"/>
    </row>
    <row r="343" spans="2:33" ht="15">
      <c r="B343" s="25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118"/>
      <c r="AD343" s="31"/>
      <c r="AE343" s="6"/>
      <c r="AF343" s="6"/>
      <c r="AG343" s="6"/>
    </row>
    <row r="344" spans="2:33" ht="15">
      <c r="B344" s="25"/>
      <c r="C344" s="6" t="s">
        <v>264</v>
      </c>
      <c r="D344" s="6"/>
      <c r="E344" s="6" t="s">
        <v>323</v>
      </c>
      <c r="F344" s="6"/>
      <c r="G344" s="6"/>
      <c r="H344" s="6"/>
      <c r="I344" s="6"/>
      <c r="J344" s="6"/>
      <c r="K344" s="6"/>
      <c r="L344" s="6" t="s">
        <v>320</v>
      </c>
      <c r="M344" s="6"/>
      <c r="N344" s="6"/>
      <c r="O344" s="6"/>
      <c r="P344" s="6"/>
      <c r="Q344" s="6"/>
      <c r="R344" s="6"/>
      <c r="S344" s="6"/>
      <c r="T344" s="6"/>
      <c r="U344" s="6" t="s">
        <v>321</v>
      </c>
      <c r="V344" s="6"/>
      <c r="W344" s="6"/>
      <c r="X344" s="6"/>
      <c r="Y344" s="6"/>
      <c r="Z344" s="6"/>
      <c r="AA344" s="118"/>
      <c r="AB344" s="6"/>
      <c r="AC344" s="118"/>
      <c r="AD344" s="31"/>
      <c r="AE344" s="6"/>
      <c r="AF344" s="6"/>
      <c r="AG344" s="6"/>
    </row>
    <row r="345" spans="2:33" ht="15">
      <c r="B345" s="25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118"/>
      <c r="AB345" s="6"/>
      <c r="AC345" s="118"/>
      <c r="AD345" s="31"/>
      <c r="AE345" s="6"/>
      <c r="AF345" s="6"/>
      <c r="AG345" s="6"/>
    </row>
    <row r="346" spans="2:30" ht="15">
      <c r="B346" s="25"/>
      <c r="C346" s="276" t="s">
        <v>118</v>
      </c>
      <c r="D346" s="41" t="s">
        <v>119</v>
      </c>
      <c r="E346" s="41" t="s">
        <v>32</v>
      </c>
      <c r="F346" s="41" t="s">
        <v>120</v>
      </c>
      <c r="G346" s="41" t="s">
        <v>33</v>
      </c>
      <c r="H346" s="34" t="s">
        <v>121</v>
      </c>
      <c r="I346" s="38" t="s">
        <v>122</v>
      </c>
      <c r="J346" s="41" t="s">
        <v>123</v>
      </c>
      <c r="K346" s="6"/>
      <c r="L346" s="43" t="s">
        <v>118</v>
      </c>
      <c r="M346" s="43" t="s">
        <v>119</v>
      </c>
      <c r="N346" s="105" t="s">
        <v>32</v>
      </c>
      <c r="O346" s="105" t="s">
        <v>120</v>
      </c>
      <c r="P346" s="105" t="s">
        <v>33</v>
      </c>
      <c r="Q346" s="105" t="s">
        <v>121</v>
      </c>
      <c r="R346" s="43" t="s">
        <v>122</v>
      </c>
      <c r="S346" s="43" t="s">
        <v>123</v>
      </c>
      <c r="T346" s="6"/>
      <c r="U346" s="43" t="s">
        <v>118</v>
      </c>
      <c r="V346" s="43" t="s">
        <v>119</v>
      </c>
      <c r="W346" s="43" t="s">
        <v>32</v>
      </c>
      <c r="X346" s="43" t="s">
        <v>120</v>
      </c>
      <c r="Y346" s="43" t="s">
        <v>33</v>
      </c>
      <c r="Z346" s="43" t="s">
        <v>121</v>
      </c>
      <c r="AA346" s="43" t="s">
        <v>121</v>
      </c>
      <c r="AB346" s="43" t="s">
        <v>122</v>
      </c>
      <c r="AC346" s="43" t="s">
        <v>123</v>
      </c>
      <c r="AD346" s="31"/>
    </row>
    <row r="347" spans="2:30" ht="15">
      <c r="B347" s="25"/>
      <c r="C347" s="36"/>
      <c r="D347" s="42" t="s">
        <v>241</v>
      </c>
      <c r="E347" s="42" t="s">
        <v>2</v>
      </c>
      <c r="F347" s="42" t="s">
        <v>241</v>
      </c>
      <c r="G347" s="42" t="s">
        <v>259</v>
      </c>
      <c r="H347" s="36" t="s">
        <v>223</v>
      </c>
      <c r="I347" s="40" t="s">
        <v>244</v>
      </c>
      <c r="J347" s="142" t="s">
        <v>260</v>
      </c>
      <c r="K347" s="6"/>
      <c r="L347" s="43"/>
      <c r="M347" s="43" t="s">
        <v>241</v>
      </c>
      <c r="N347" s="105" t="s">
        <v>2</v>
      </c>
      <c r="O347" s="105" t="s">
        <v>241</v>
      </c>
      <c r="P347" s="185" t="s">
        <v>259</v>
      </c>
      <c r="Q347" s="105" t="s">
        <v>223</v>
      </c>
      <c r="R347" s="43" t="s">
        <v>244</v>
      </c>
      <c r="S347" s="43" t="s">
        <v>260</v>
      </c>
      <c r="T347" s="6"/>
      <c r="U347" s="43"/>
      <c r="V347" s="43" t="s">
        <v>314</v>
      </c>
      <c r="W347" s="43" t="s">
        <v>2</v>
      </c>
      <c r="X347" s="43" t="s">
        <v>1</v>
      </c>
      <c r="Y347" s="43" t="s">
        <v>315</v>
      </c>
      <c r="Z347" s="43" t="s">
        <v>316</v>
      </c>
      <c r="AA347" s="43" t="s">
        <v>317</v>
      </c>
      <c r="AB347" s="43" t="s">
        <v>318</v>
      </c>
      <c r="AC347" s="43" t="s">
        <v>319</v>
      </c>
      <c r="AD347" s="31"/>
    </row>
    <row r="348" spans="2:30" ht="15">
      <c r="B348" s="25"/>
      <c r="C348" s="42" t="s">
        <v>87</v>
      </c>
      <c r="D348" s="42">
        <f>E309</f>
        <v>0.2032</v>
      </c>
      <c r="E348" s="42">
        <f>F309</f>
        <v>130</v>
      </c>
      <c r="F348" s="42">
        <f>G309</f>
        <v>30.48</v>
      </c>
      <c r="G348" s="224">
        <f>H309</f>
        <v>0.03242927866223985</v>
      </c>
      <c r="H348" s="76">
        <f>I309</f>
        <v>0.13335191087239584</v>
      </c>
      <c r="I348" s="86">
        <f>J309</f>
        <v>4.1120837827228245</v>
      </c>
      <c r="J348" s="74">
        <f>K309</f>
        <v>73.30921084418998</v>
      </c>
      <c r="K348" s="6"/>
      <c r="L348" s="43" t="s">
        <v>87</v>
      </c>
      <c r="M348" s="43">
        <f aca="true" t="shared" si="26" ref="M348:M358">V348*25.4/1000</f>
        <v>0.2032</v>
      </c>
      <c r="N348" s="105">
        <v>130</v>
      </c>
      <c r="O348" s="105">
        <f aca="true" t="shared" si="27" ref="O348:O358">X348*0.3048</f>
        <v>30.48</v>
      </c>
      <c r="P348" s="217">
        <f aca="true" t="shared" si="28" ref="P348:P358">0.092903*Y348</f>
        <v>0.03242926469960584</v>
      </c>
      <c r="Q348" s="78">
        <f>0.0000630902*Z348</f>
        <v>0.13335198132812498</v>
      </c>
      <c r="R348" s="129">
        <f>AB348*0.3048</f>
        <v>4.112099392028607</v>
      </c>
      <c r="S348" s="129">
        <f>AC348</f>
        <v>73.60961818387796</v>
      </c>
      <c r="T348" s="6"/>
      <c r="U348" s="43" t="s">
        <v>87</v>
      </c>
      <c r="V348" s="43">
        <v>8</v>
      </c>
      <c r="W348" s="43">
        <v>130</v>
      </c>
      <c r="X348" s="43">
        <v>100</v>
      </c>
      <c r="Y348" s="129">
        <v>0.3490658503988659</v>
      </c>
      <c r="Z348" s="129">
        <v>2113.671875</v>
      </c>
      <c r="AA348" s="129">
        <v>4.709296165364583</v>
      </c>
      <c r="AB348" s="129">
        <v>13.49113973762666</v>
      </c>
      <c r="AC348" s="74">
        <v>73.60961818387796</v>
      </c>
      <c r="AD348" s="31"/>
    </row>
    <row r="349" spans="2:30" ht="15">
      <c r="B349" s="25"/>
      <c r="C349" s="43" t="s">
        <v>124</v>
      </c>
      <c r="D349" s="42">
        <f>E310</f>
        <v>0.2032</v>
      </c>
      <c r="E349" s="42">
        <f>F310</f>
        <v>130</v>
      </c>
      <c r="F349" s="42">
        <f>G310</f>
        <v>457.20000000000005</v>
      </c>
      <c r="G349" s="224">
        <f>H310</f>
        <v>0.03242927866223985</v>
      </c>
      <c r="H349" s="76">
        <f>I310</f>
        <v>0.048565684452140594</v>
      </c>
      <c r="I349" s="76">
        <f>J310</f>
        <v>1.4975875645575096</v>
      </c>
      <c r="J349" s="75">
        <f>K310</f>
        <v>11.36830649042459</v>
      </c>
      <c r="K349" s="6"/>
      <c r="L349" s="43" t="s">
        <v>124</v>
      </c>
      <c r="M349" s="43">
        <f t="shared" si="26"/>
        <v>0.2032</v>
      </c>
      <c r="N349" s="105">
        <v>130</v>
      </c>
      <c r="O349" s="105">
        <f t="shared" si="27"/>
        <v>457.20000000000005</v>
      </c>
      <c r="P349" s="217">
        <f t="shared" si="28"/>
        <v>0.03242926469960584</v>
      </c>
      <c r="Q349" s="78">
        <f aca="true" t="shared" si="29" ref="Q349:Q358">0.0000630902*Z349</f>
        <v>0.0485657153350042</v>
      </c>
      <c r="R349" s="129">
        <f aca="true" t="shared" si="30" ref="R349:R358">AB349*0.3048</f>
        <v>1.4975934104129083</v>
      </c>
      <c r="S349" s="129">
        <f>AC349</f>
        <v>11.253780312303638</v>
      </c>
      <c r="T349" s="6"/>
      <c r="U349" s="43" t="s">
        <v>124</v>
      </c>
      <c r="V349" s="43">
        <v>8</v>
      </c>
      <c r="W349" s="43">
        <v>130</v>
      </c>
      <c r="X349" s="43">
        <v>1500</v>
      </c>
      <c r="Y349" s="129">
        <v>0.3490658503988659</v>
      </c>
      <c r="Z349" s="129">
        <v>769.7822377327097</v>
      </c>
      <c r="AA349" s="129">
        <v>1.7150876553724395</v>
      </c>
      <c r="AB349" s="129">
        <v>4.913364207391431</v>
      </c>
      <c r="AC349" s="74">
        <v>11.253780312303638</v>
      </c>
      <c r="AD349" s="31"/>
    </row>
    <row r="350" spans="2:30" ht="15">
      <c r="B350" s="25"/>
      <c r="C350" s="43" t="s">
        <v>125</v>
      </c>
      <c r="D350" s="42">
        <f>E311</f>
        <v>0.2032</v>
      </c>
      <c r="E350" s="42">
        <f>F311</f>
        <v>130</v>
      </c>
      <c r="F350" s="42">
        <f>G311</f>
        <v>121.92</v>
      </c>
      <c r="G350" s="224">
        <f>H311</f>
        <v>0.03242927866223985</v>
      </c>
      <c r="H350" s="76">
        <f>I311</f>
        <v>0.04528795313703642</v>
      </c>
      <c r="I350" s="76">
        <f>J311</f>
        <v>1.3965143538566898</v>
      </c>
      <c r="J350" s="75">
        <f>K311</f>
        <v>9.989739291119253</v>
      </c>
      <c r="K350" s="6"/>
      <c r="L350" s="43" t="s">
        <v>125</v>
      </c>
      <c r="M350" s="43">
        <f t="shared" si="26"/>
        <v>0.2032</v>
      </c>
      <c r="N350" s="105">
        <v>130</v>
      </c>
      <c r="O350" s="105">
        <f t="shared" si="27"/>
        <v>121.92</v>
      </c>
      <c r="P350" s="217">
        <f t="shared" si="28"/>
        <v>0.03242926469960584</v>
      </c>
      <c r="Q350" s="78">
        <f t="shared" si="29"/>
        <v>0.0452879822881292</v>
      </c>
      <c r="R350" s="129">
        <f t="shared" si="30"/>
        <v>1.396519816042218</v>
      </c>
      <c r="S350" s="129">
        <f aca="true" t="shared" si="31" ref="S350:S358">AC350</f>
        <v>9.889101166750121</v>
      </c>
      <c r="T350" s="6"/>
      <c r="U350" s="43" t="s">
        <v>125</v>
      </c>
      <c r="V350" s="43">
        <v>8</v>
      </c>
      <c r="W350" s="43">
        <v>130</v>
      </c>
      <c r="X350" s="43">
        <v>400</v>
      </c>
      <c r="Y350" s="129">
        <v>0.3490658503988659</v>
      </c>
      <c r="Z350" s="129">
        <v>717.8291127327097</v>
      </c>
      <c r="AA350" s="129">
        <v>1.599335226987023</v>
      </c>
      <c r="AB350" s="129">
        <v>4.581757926647697</v>
      </c>
      <c r="AC350" s="74">
        <v>9.889101166750121</v>
      </c>
      <c r="AD350" s="31"/>
    </row>
    <row r="351" spans="2:30" ht="15">
      <c r="B351" s="25"/>
      <c r="C351" s="43" t="s">
        <v>126</v>
      </c>
      <c r="D351" s="42">
        <f>E312</f>
        <v>0.2032</v>
      </c>
      <c r="E351" s="42">
        <f>F312</f>
        <v>130</v>
      </c>
      <c r="F351" s="42">
        <f>G312</f>
        <v>243.84</v>
      </c>
      <c r="G351" s="224">
        <f>H312</f>
        <v>0.03242927866223985</v>
      </c>
      <c r="H351" s="76">
        <f>I312</f>
        <v>0.05794760978462747</v>
      </c>
      <c r="I351" s="76">
        <f>J312</f>
        <v>1.7868917279403063</v>
      </c>
      <c r="J351" s="75">
        <f>K312</f>
        <v>15.761657935270856</v>
      </c>
      <c r="K351" s="6"/>
      <c r="L351" s="43" t="s">
        <v>126</v>
      </c>
      <c r="M351" s="43">
        <f t="shared" si="26"/>
        <v>0.2032</v>
      </c>
      <c r="N351" s="105">
        <v>130</v>
      </c>
      <c r="O351" s="105">
        <f t="shared" si="27"/>
        <v>243.84</v>
      </c>
      <c r="P351" s="217">
        <f t="shared" si="28"/>
        <v>0.03242926469960584</v>
      </c>
      <c r="Q351" s="78">
        <f t="shared" si="29"/>
        <v>0.05794764563182004</v>
      </c>
      <c r="R351" s="129">
        <f t="shared" si="30"/>
        <v>1.7868986722122275</v>
      </c>
      <c r="S351" s="129">
        <f t="shared" si="31"/>
        <v>15.602871917514028</v>
      </c>
      <c r="T351" s="6"/>
      <c r="U351" s="43" t="s">
        <v>126</v>
      </c>
      <c r="V351" s="43">
        <v>8</v>
      </c>
      <c r="W351" s="43">
        <v>130</v>
      </c>
      <c r="X351" s="43">
        <v>800</v>
      </c>
      <c r="Y351" s="129">
        <v>0.3490658503988659</v>
      </c>
      <c r="Z351" s="129">
        <v>918.4888561427931</v>
      </c>
      <c r="AA351" s="129">
        <v>2.046408479633745</v>
      </c>
      <c r="AB351" s="129">
        <v>5.862528452139854</v>
      </c>
      <c r="AC351" s="74">
        <v>15.602871917514028</v>
      </c>
      <c r="AD351" s="31"/>
    </row>
    <row r="352" spans="2:30" ht="15">
      <c r="B352" s="25"/>
      <c r="C352" s="43" t="s">
        <v>163</v>
      </c>
      <c r="D352" s="42">
        <f>E313</f>
        <v>0.2032</v>
      </c>
      <c r="E352" s="42">
        <f>F313</f>
        <v>130</v>
      </c>
      <c r="F352" s="42">
        <f>G313</f>
        <v>228.60000000000002</v>
      </c>
      <c r="G352" s="224">
        <f>H313</f>
        <v>0.03242927866223985</v>
      </c>
      <c r="H352" s="76">
        <f>I313</f>
        <v>0.05573791319714337</v>
      </c>
      <c r="I352" s="76">
        <f>J313</f>
        <v>-1.7187527905776</v>
      </c>
      <c r="J352" s="75">
        <f>K313</f>
        <v>-14.667799921307893</v>
      </c>
      <c r="K352" s="6"/>
      <c r="L352" s="43" t="s">
        <v>163</v>
      </c>
      <c r="M352" s="43">
        <f t="shared" si="26"/>
        <v>0.2032</v>
      </c>
      <c r="N352" s="105">
        <v>130</v>
      </c>
      <c r="O352" s="105">
        <f t="shared" si="27"/>
        <v>228.60000000000002</v>
      </c>
      <c r="P352" s="217">
        <f t="shared" si="28"/>
        <v>0.03242926469960584</v>
      </c>
      <c r="Q352" s="78">
        <f t="shared" si="29"/>
        <v>0.05573793741505495</v>
      </c>
      <c r="R352" s="129">
        <f t="shared" si="30"/>
        <v>-1.7187591535922375</v>
      </c>
      <c r="S352" s="129">
        <f t="shared" si="31"/>
        <v>-14.520028696862639</v>
      </c>
      <c r="T352" s="6"/>
      <c r="U352" s="43" t="s">
        <v>163</v>
      </c>
      <c r="V352" s="43">
        <v>8</v>
      </c>
      <c r="W352" s="43">
        <v>130</v>
      </c>
      <c r="X352" s="43">
        <v>750</v>
      </c>
      <c r="Y352" s="129">
        <v>0.3490658503988659</v>
      </c>
      <c r="Z352" s="129">
        <v>883.4642688572069</v>
      </c>
      <c r="AA352" s="129">
        <v>-1.9683731154183377</v>
      </c>
      <c r="AB352" s="129">
        <v>-5.638973601024401</v>
      </c>
      <c r="AC352" s="74">
        <v>-14.520028696862639</v>
      </c>
      <c r="AD352" s="31"/>
    </row>
    <row r="353" spans="2:30" ht="15">
      <c r="B353" s="25"/>
      <c r="C353" s="43" t="s">
        <v>164</v>
      </c>
      <c r="D353" s="42">
        <f>E314</f>
        <v>0.2032</v>
      </c>
      <c r="E353" s="42">
        <f>F314</f>
        <v>130</v>
      </c>
      <c r="F353" s="42">
        <f>G314</f>
        <v>228.60000000000002</v>
      </c>
      <c r="G353" s="224">
        <f>H314</f>
        <v>0.03242927866223985</v>
      </c>
      <c r="H353" s="76">
        <f>I314</f>
        <v>0.0338560084062024</v>
      </c>
      <c r="I353" s="76">
        <f>J314</f>
        <v>-1.0439951119117492</v>
      </c>
      <c r="J353" s="75">
        <f>K314</f>
        <v>-5.831930205290914</v>
      </c>
      <c r="K353" s="6"/>
      <c r="L353" s="43" t="s">
        <v>164</v>
      </c>
      <c r="M353" s="43">
        <f t="shared" si="26"/>
        <v>0.2032</v>
      </c>
      <c r="N353" s="105">
        <v>130</v>
      </c>
      <c r="O353" s="105">
        <f t="shared" si="27"/>
        <v>228.60000000000002</v>
      </c>
      <c r="P353" s="217">
        <f t="shared" si="28"/>
        <v>0.03242926469960584</v>
      </c>
      <c r="Q353" s="78">
        <f t="shared" si="29"/>
        <v>0.03385601994412486</v>
      </c>
      <c r="R353" s="129">
        <f t="shared" si="30"/>
        <v>-1.0439988790731358</v>
      </c>
      <c r="S353" s="129">
        <f t="shared" si="31"/>
        <v>-5.77317523514508</v>
      </c>
      <c r="T353" s="6"/>
      <c r="U353" s="43" t="s">
        <v>164</v>
      </c>
      <c r="V353" s="43">
        <v>8</v>
      </c>
      <c r="W353" s="43">
        <v>130</v>
      </c>
      <c r="X353" s="43">
        <v>750</v>
      </c>
      <c r="Y353" s="129">
        <v>0.3490658503988659</v>
      </c>
      <c r="Z353" s="129">
        <v>536.6288257784072</v>
      </c>
      <c r="AA353" s="129">
        <v>-1.195617967648054</v>
      </c>
      <c r="AB353" s="129">
        <v>-3.425193172812125</v>
      </c>
      <c r="AC353" s="74">
        <v>-5.77317523514508</v>
      </c>
      <c r="AD353" s="31"/>
    </row>
    <row r="354" spans="2:30" ht="15">
      <c r="B354" s="25"/>
      <c r="C354" s="43" t="s">
        <v>166</v>
      </c>
      <c r="D354" s="42">
        <f>E315</f>
        <v>0.2032</v>
      </c>
      <c r="E354" s="42">
        <f>F315</f>
        <v>130</v>
      </c>
      <c r="F354" s="42">
        <f>G315</f>
        <v>243.84</v>
      </c>
      <c r="G354" s="224">
        <f>H315</f>
        <v>0.03242927866223985</v>
      </c>
      <c r="H354" s="76">
        <f>I315</f>
        <v>0.03713373972130657</v>
      </c>
      <c r="I354" s="76">
        <f>J315</f>
        <v>-1.145068322612569</v>
      </c>
      <c r="J354" s="75">
        <f>K315</f>
        <v>-6.919237660325569</v>
      </c>
      <c r="K354" s="6"/>
      <c r="L354" s="43" t="s">
        <v>166</v>
      </c>
      <c r="M354" s="43">
        <f t="shared" si="26"/>
        <v>0.2032</v>
      </c>
      <c r="N354" s="105">
        <v>130</v>
      </c>
      <c r="O354" s="105">
        <f t="shared" si="27"/>
        <v>243.84</v>
      </c>
      <c r="P354" s="217">
        <f t="shared" si="28"/>
        <v>0.03242926469960584</v>
      </c>
      <c r="Q354" s="78">
        <f t="shared" si="29"/>
        <v>0.037133752990999865</v>
      </c>
      <c r="R354" s="129">
        <f t="shared" si="30"/>
        <v>-1.145072473443826</v>
      </c>
      <c r="S354" s="129">
        <f t="shared" si="31"/>
        <v>-6.849528599267369</v>
      </c>
      <c r="T354" s="6"/>
      <c r="U354" s="43" t="s">
        <v>166</v>
      </c>
      <c r="V354" s="43">
        <v>8</v>
      </c>
      <c r="W354" s="43">
        <v>130</v>
      </c>
      <c r="X354" s="43">
        <v>800</v>
      </c>
      <c r="Y354" s="129">
        <v>0.3490658503988659</v>
      </c>
      <c r="Z354" s="129">
        <v>588.5819507784072</v>
      </c>
      <c r="AA354" s="129">
        <v>-1.3113703960334708</v>
      </c>
      <c r="AB354" s="129">
        <v>-3.7567994535558595</v>
      </c>
      <c r="AC354" s="74">
        <v>-6.849528599267369</v>
      </c>
      <c r="AD354" s="31"/>
    </row>
    <row r="355" spans="2:30" ht="15">
      <c r="B355" s="25"/>
      <c r="C355" s="43" t="s">
        <v>165</v>
      </c>
      <c r="D355" s="42">
        <f>E316</f>
        <v>0.2032</v>
      </c>
      <c r="E355" s="42">
        <f>F316</f>
        <v>130</v>
      </c>
      <c r="F355" s="42">
        <f>G316</f>
        <v>121.92</v>
      </c>
      <c r="G355" s="224">
        <f>H316</f>
        <v>0.03242927866223985</v>
      </c>
      <c r="H355" s="76">
        <f>I316</f>
        <v>0.08478622642025524</v>
      </c>
      <c r="I355" s="76">
        <f>J316</f>
        <v>-2.614496218165315</v>
      </c>
      <c r="J355" s="75">
        <f>K316</f>
        <v>-31.87043493667257</v>
      </c>
      <c r="K355" s="6"/>
      <c r="L355" s="43" t="s">
        <v>165</v>
      </c>
      <c r="M355" s="43">
        <f t="shared" si="26"/>
        <v>0.2032</v>
      </c>
      <c r="N355" s="105">
        <v>130</v>
      </c>
      <c r="O355" s="105">
        <f t="shared" si="27"/>
        <v>121.92</v>
      </c>
      <c r="P355" s="217">
        <f t="shared" si="28"/>
        <v>0.03242926469960584</v>
      </c>
      <c r="Q355" s="78">
        <f t="shared" si="29"/>
        <v>0.08478626599312075</v>
      </c>
      <c r="R355" s="129">
        <f t="shared" si="30"/>
        <v>-2.6145059816156975</v>
      </c>
      <c r="S355" s="129">
        <f t="shared" si="31"/>
        <v>-31.54935709146134</v>
      </c>
      <c r="T355" s="6"/>
      <c r="U355" s="43" t="s">
        <v>165</v>
      </c>
      <c r="V355" s="43">
        <v>8</v>
      </c>
      <c r="W355" s="43">
        <v>130</v>
      </c>
      <c r="X355" s="43">
        <v>400</v>
      </c>
      <c r="Y355" s="129">
        <v>0.3490658503988659</v>
      </c>
      <c r="Z355" s="129">
        <v>1343.8896372672896</v>
      </c>
      <c r="AA355" s="129">
        <v>-2.9942085099921423</v>
      </c>
      <c r="AB355" s="129">
        <v>-8.577775530235227</v>
      </c>
      <c r="AC355" s="74">
        <v>-31.54935709146134</v>
      </c>
      <c r="AD355" s="31"/>
    </row>
    <row r="356" spans="2:30" ht="15">
      <c r="B356" s="25"/>
      <c r="C356" s="43" t="s">
        <v>144</v>
      </c>
      <c r="D356" s="42">
        <f>E317</f>
        <v>0.2032</v>
      </c>
      <c r="E356" s="42">
        <f>F317</f>
        <v>130</v>
      </c>
      <c r="F356" s="42">
        <f>G317</f>
        <v>228.60000000000002</v>
      </c>
      <c r="G356" s="224">
        <f>H317</f>
        <v>0.03242927866223985</v>
      </c>
      <c r="H356" s="76">
        <f>I317</f>
        <v>0.044374755383844514</v>
      </c>
      <c r="I356" s="76">
        <f>J317</f>
        <v>1.3683546848519264</v>
      </c>
      <c r="J356" s="75">
        <f>K317</f>
        <v>-9.620280199549956</v>
      </c>
      <c r="K356" s="6"/>
      <c r="L356" s="43" t="s">
        <v>144</v>
      </c>
      <c r="M356" s="43">
        <f t="shared" si="26"/>
        <v>0.2032</v>
      </c>
      <c r="N356" s="105">
        <v>130</v>
      </c>
      <c r="O356" s="105">
        <f t="shared" si="27"/>
        <v>228.60000000000002</v>
      </c>
      <c r="P356" s="217">
        <f t="shared" si="28"/>
        <v>0.03242926469960584</v>
      </c>
      <c r="Q356" s="78">
        <f t="shared" si="29"/>
        <v>0.04437477995524593</v>
      </c>
      <c r="R356" s="129">
        <f t="shared" si="30"/>
        <v>1.3683599138011824</v>
      </c>
      <c r="S356" s="129">
        <f t="shared" si="31"/>
        <v>-9.523362476297132</v>
      </c>
      <c r="T356" s="6"/>
      <c r="U356" s="43" t="s">
        <v>144</v>
      </c>
      <c r="V356" s="43">
        <v>8</v>
      </c>
      <c r="W356" s="43">
        <v>130</v>
      </c>
      <c r="X356" s="43">
        <v>750</v>
      </c>
      <c r="Y356" s="129">
        <v>0.3490658503988659</v>
      </c>
      <c r="Z356" s="129">
        <v>703.3545614888831</v>
      </c>
      <c r="AA356" s="129">
        <v>1.5670856855732562</v>
      </c>
      <c r="AB356" s="129">
        <v>4.489369795935637</v>
      </c>
      <c r="AC356" s="74">
        <v>-9.523362476297132</v>
      </c>
      <c r="AD356" s="31"/>
    </row>
    <row r="357" spans="2:30" ht="15">
      <c r="B357" s="25"/>
      <c r="C357" s="43" t="s">
        <v>131</v>
      </c>
      <c r="D357" s="42">
        <f>E318</f>
        <v>0.2032</v>
      </c>
      <c r="E357" s="42">
        <f>F318</f>
        <v>130</v>
      </c>
      <c r="F357" s="42">
        <f>G318</f>
        <v>228.60000000000002</v>
      </c>
      <c r="G357" s="224">
        <f>H318</f>
        <v>0.03242927866223985</v>
      </c>
      <c r="H357" s="76">
        <f>I318</f>
        <v>0.015937387962695216</v>
      </c>
      <c r="I357" s="76">
        <f>J318</f>
        <v>0.49145058478443626</v>
      </c>
      <c r="J357" s="75">
        <f>K318</f>
        <v>-1.4469645493739869</v>
      </c>
      <c r="K357" s="6"/>
      <c r="L357" s="43" t="s">
        <v>131</v>
      </c>
      <c r="M357" s="43">
        <f t="shared" si="26"/>
        <v>0.2032</v>
      </c>
      <c r="N357" s="105">
        <v>130</v>
      </c>
      <c r="O357" s="105">
        <f t="shared" si="27"/>
        <v>228.60000000000002</v>
      </c>
      <c r="P357" s="217">
        <f t="shared" si="28"/>
        <v>0.03242926469960584</v>
      </c>
      <c r="Q357" s="78">
        <f t="shared" si="29"/>
        <v>0.015937396390565826</v>
      </c>
      <c r="R357" s="129">
        <f t="shared" si="30"/>
        <v>0.4914524505406996</v>
      </c>
      <c r="S357" s="129">
        <f t="shared" si="31"/>
        <v>-1.432387308175005</v>
      </c>
      <c r="T357" s="6"/>
      <c r="U357" s="43" t="s">
        <v>131</v>
      </c>
      <c r="V357" s="43">
        <v>8</v>
      </c>
      <c r="W357" s="43">
        <v>130</v>
      </c>
      <c r="X357" s="43">
        <v>750</v>
      </c>
      <c r="Y357" s="129">
        <v>0.3490658503988659</v>
      </c>
      <c r="Z357" s="129">
        <v>252.61286841008314</v>
      </c>
      <c r="AA357" s="129">
        <v>0.5628256810321387</v>
      </c>
      <c r="AB357" s="129">
        <v>1.612376806235891</v>
      </c>
      <c r="AC357" s="74">
        <v>-1.432387308175005</v>
      </c>
      <c r="AD357" s="31"/>
    </row>
    <row r="358" spans="2:30" ht="15">
      <c r="B358" s="25"/>
      <c r="C358" s="43" t="s">
        <v>132</v>
      </c>
      <c r="D358" s="42">
        <f>E319</f>
        <v>0.2032</v>
      </c>
      <c r="E358" s="42">
        <f>F319</f>
        <v>130</v>
      </c>
      <c r="F358" s="42">
        <f>G319</f>
        <v>243.84</v>
      </c>
      <c r="G358" s="224">
        <f>H319</f>
        <v>0.03242927866223985</v>
      </c>
      <c r="H358" s="76">
        <f>I319</f>
        <v>0.02515963610604512</v>
      </c>
      <c r="I358" s="76">
        <f>J319</f>
        <v>0.77583088936667</v>
      </c>
      <c r="J358" s="75">
        <f>K319</f>
        <v>-3.367357534862496</v>
      </c>
      <c r="K358" s="6"/>
      <c r="L358" s="43" t="s">
        <v>132</v>
      </c>
      <c r="M358" s="43">
        <f t="shared" si="26"/>
        <v>0.2032</v>
      </c>
      <c r="N358" s="105">
        <v>130</v>
      </c>
      <c r="O358" s="105">
        <f t="shared" si="27"/>
        <v>243.84</v>
      </c>
      <c r="P358" s="217">
        <f t="shared" si="28"/>
        <v>0.03242926469960584</v>
      </c>
      <c r="Q358" s="78">
        <f t="shared" si="29"/>
        <v>0.025159650517805093</v>
      </c>
      <c r="R358" s="129">
        <f t="shared" si="30"/>
        <v>0.7758338688897922</v>
      </c>
      <c r="S358" s="129">
        <f t="shared" si="31"/>
        <v>-3.333433835504502</v>
      </c>
      <c r="T358" s="6"/>
      <c r="U358" s="43" t="s">
        <v>132</v>
      </c>
      <c r="V358" s="43">
        <v>8</v>
      </c>
      <c r="W358" s="43">
        <v>130</v>
      </c>
      <c r="X358" s="43">
        <v>800</v>
      </c>
      <c r="Y358" s="129">
        <v>0.3490658503988659</v>
      </c>
      <c r="Z358" s="129">
        <v>398.7885680787998</v>
      </c>
      <c r="AA358" s="129">
        <v>0.8885075761557005</v>
      </c>
      <c r="AB358" s="129">
        <v>2.545386708956011</v>
      </c>
      <c r="AC358" s="74">
        <v>-3.333433835504502</v>
      </c>
      <c r="AD358" s="31"/>
    </row>
    <row r="359" spans="2:30" ht="15">
      <c r="B359" s="25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118"/>
      <c r="AD359" s="31"/>
    </row>
    <row r="360" spans="2:30" ht="15">
      <c r="B360" s="25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118"/>
      <c r="AD360" s="31"/>
    </row>
    <row r="361" spans="2:30" ht="15">
      <c r="B361" s="25"/>
      <c r="C361" s="6" t="s">
        <v>322</v>
      </c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118"/>
      <c r="AC361" s="6"/>
      <c r="AD361" s="31"/>
    </row>
    <row r="362" spans="2:30" ht="15">
      <c r="B362" s="25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118"/>
      <c r="AC362" s="6"/>
      <c r="AD362" s="31"/>
    </row>
    <row r="363" spans="2:30" ht="15">
      <c r="B363" s="25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118"/>
      <c r="AC363" s="6"/>
      <c r="AD363" s="31"/>
    </row>
    <row r="364" spans="2:30" ht="15">
      <c r="B364" s="25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118"/>
      <c r="AC364" s="6"/>
      <c r="AD364" s="31"/>
    </row>
    <row r="365" spans="2:30" ht="15">
      <c r="B365" s="25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118"/>
      <c r="AC365" s="6"/>
      <c r="AD365" s="31"/>
    </row>
    <row r="366" spans="2:30" ht="15">
      <c r="B366" s="25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118"/>
      <c r="AC366" s="6"/>
      <c r="AD366" s="31"/>
    </row>
    <row r="367" spans="2:30" ht="15">
      <c r="B367" s="25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118"/>
      <c r="AC367" s="6"/>
      <c r="AD367" s="31"/>
    </row>
    <row r="368" spans="2:30" ht="15">
      <c r="B368" s="25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118"/>
      <c r="AC368" s="6"/>
      <c r="AD368" s="31"/>
    </row>
    <row r="369" spans="2:30" ht="15">
      <c r="B369" s="25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118"/>
      <c r="AC369" s="6"/>
      <c r="AD369" s="31"/>
    </row>
    <row r="370" spans="2:30" ht="15">
      <c r="B370" s="25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118"/>
      <c r="AC370" s="6"/>
      <c r="AD370" s="31"/>
    </row>
    <row r="371" spans="2:30" ht="15">
      <c r="B371" s="25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118"/>
      <c r="AC371" s="6"/>
      <c r="AD371" s="31"/>
    </row>
    <row r="372" spans="2:30" ht="15">
      <c r="B372" s="25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118"/>
      <c r="AC372" s="6"/>
      <c r="AD372" s="31"/>
    </row>
    <row r="373" spans="2:30" ht="15">
      <c r="B373" s="25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118"/>
      <c r="AC373" s="6"/>
      <c r="AD373" s="31"/>
    </row>
    <row r="374" spans="2:30" ht="15.75" thickBot="1">
      <c r="B374" s="28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119"/>
      <c r="AC374" s="29"/>
      <c r="AD374" s="32"/>
    </row>
    <row r="375" ht="15.75" thickTop="1"/>
  </sheetData>
  <sheetProtection/>
  <hyperlinks>
    <hyperlink ref="C32" r:id="rId1" display="www.piping-tools.net"/>
  </hyperlinks>
  <printOptions/>
  <pageMargins left="0.7" right="0.7" top="0.75" bottom="0.75" header="0.3" footer="0.3"/>
  <pageSetup horizontalDpi="600" verticalDpi="600" orientation="portrait" r:id="rId26"/>
  <ignoredErrors>
    <ignoredError sqref="H210 I313:I316 H205:H209 H216 H212:H215 H217:H221" formula="1"/>
  </ignoredErrors>
  <drawing r:id="rId25"/>
  <legacyDrawing r:id="rId24"/>
  <oleObjects>
    <oleObject progId="Equation.3" shapeId="16271733" r:id="rId2"/>
    <oleObject progId="Equation.3" dvAspect="DVASPECT_ICON" shapeId="16271732" r:id="rId3"/>
    <oleObject progId="Equation.3" shapeId="16271731" r:id="rId4"/>
    <oleObject progId="Equation.3" shapeId="16271730" r:id="rId5"/>
    <oleObject progId="Equation.3" shapeId="16271729" r:id="rId6"/>
    <oleObject progId="Equation.3" dvAspect="DVASPECT_ICON" shapeId="16271728" r:id="rId7"/>
    <oleObject progId="Equation.3" dvAspect="DVASPECT_ICON" shapeId="16271727" r:id="rId8"/>
    <oleObject progId="Equation.3" shapeId="16271726" r:id="rId9"/>
    <oleObject progId="Equation.3" dvAspect="DVASPECT_ICON" shapeId="16271725" r:id="rId10"/>
    <oleObject progId="Equation.3" shapeId="16271724" r:id="rId11"/>
    <oleObject progId="Equation.3" shapeId="16271723" r:id="rId12"/>
    <oleObject progId="Equation.3" dvAspect="DVASPECT_ICON" shapeId="16271722" r:id="rId13"/>
    <oleObject progId="Equation.3" shapeId="16271721" r:id="rId14"/>
    <oleObject progId="Equation.3" dvAspect="DVASPECT_ICON" shapeId="16271720" r:id="rId15"/>
    <oleObject progId="Equation.3" shapeId="16271719" r:id="rId16"/>
    <oleObject progId="Equation.3" dvAspect="DVASPECT_ICON" shapeId="16271718" r:id="rId17"/>
    <oleObject progId="Equation.3" shapeId="16271717" r:id="rId18"/>
    <oleObject progId="Equation.3" dvAspect="DVASPECT_ICON" shapeId="16271716" r:id="rId19"/>
    <oleObject progId="Equation.3" shapeId="16271715" r:id="rId20"/>
    <oleObject progId="Equation.3" shapeId="16271714" r:id="rId21"/>
    <oleObject progId="Equation.3" shapeId="16271713" r:id="rId22"/>
    <oleObject progId="Equation.3" shapeId="16271712" r:id="rId2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C2:O44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ht="15">
      <c r="C2" t="s">
        <v>280</v>
      </c>
    </row>
    <row r="4" ht="15">
      <c r="C4" t="s">
        <v>205</v>
      </c>
    </row>
    <row r="44" ht="15">
      <c r="O44" t="s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C18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3" ht="15">
      <c r="C3" t="s">
        <v>224</v>
      </c>
    </row>
    <row r="18" ht="15">
      <c r="C18" t="s">
        <v>206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9.140625" style="1" customWidth="1"/>
  </cols>
  <sheetData>
    <row r="2" spans="2:3" ht="15">
      <c r="B2" s="1" t="s">
        <v>224</v>
      </c>
      <c r="C2" t="s">
        <v>281</v>
      </c>
    </row>
    <row r="3" ht="15">
      <c r="C3" t="s">
        <v>282</v>
      </c>
    </row>
    <row r="4" ht="15">
      <c r="C4" t="s">
        <v>206</v>
      </c>
    </row>
    <row r="6" spans="2:8" ht="15">
      <c r="B6" s="3" t="s">
        <v>202</v>
      </c>
      <c r="C6" s="190" t="s">
        <v>203</v>
      </c>
      <c r="D6" s="2"/>
      <c r="E6" s="2"/>
      <c r="F6" s="2"/>
      <c r="G6" s="2"/>
      <c r="H6" s="2"/>
    </row>
    <row r="7" spans="3:8" ht="15">
      <c r="C7" s="190" t="s">
        <v>204</v>
      </c>
      <c r="D7" s="2"/>
      <c r="E7" s="2"/>
      <c r="F7" s="2"/>
      <c r="G7" s="2"/>
      <c r="H7" s="2"/>
    </row>
    <row r="8" ht="15">
      <c r="C8" t="s">
        <v>201</v>
      </c>
    </row>
    <row r="10" spans="2:3" ht="15">
      <c r="B10" s="1" t="s">
        <v>6</v>
      </c>
      <c r="C10" s="5" t="s">
        <v>3</v>
      </c>
    </row>
    <row r="11" ht="15">
      <c r="C11" t="s">
        <v>4</v>
      </c>
    </row>
    <row r="12" ht="15">
      <c r="C12" s="4" t="s">
        <v>5</v>
      </c>
    </row>
    <row r="14" spans="2:3" ht="15">
      <c r="B14" s="1" t="s">
        <v>95</v>
      </c>
      <c r="C14" s="5" t="s">
        <v>93</v>
      </c>
    </row>
    <row r="15" ht="15">
      <c r="C15" t="s">
        <v>4</v>
      </c>
    </row>
    <row r="16" ht="15">
      <c r="C16" s="4" t="s">
        <v>92</v>
      </c>
    </row>
    <row r="18" spans="2:3" ht="15">
      <c r="B18" s="1" t="s">
        <v>96</v>
      </c>
      <c r="C18" s="5" t="s">
        <v>94</v>
      </c>
    </row>
    <row r="19" ht="15">
      <c r="C19" t="s">
        <v>4</v>
      </c>
    </row>
    <row r="20" ht="15">
      <c r="C20" s="4" t="s">
        <v>110</v>
      </c>
    </row>
    <row r="23" spans="2:3" ht="15">
      <c r="B23" s="1" t="s">
        <v>208</v>
      </c>
      <c r="C23" t="s">
        <v>209</v>
      </c>
    </row>
    <row r="24" ht="15">
      <c r="C24" t="s">
        <v>210</v>
      </c>
    </row>
    <row r="25" ht="15">
      <c r="C25" t="s">
        <v>207</v>
      </c>
    </row>
    <row r="28" spans="2:3" ht="15">
      <c r="B28" s="1" t="s">
        <v>291</v>
      </c>
      <c r="C28" s="4" t="s">
        <v>268</v>
      </c>
    </row>
    <row r="29" ht="15">
      <c r="C29" t="s">
        <v>290</v>
      </c>
    </row>
  </sheetData>
  <sheetProtection/>
  <hyperlinks>
    <hyperlink ref="C12" r:id="rId1" display="https://www.youtube.com/watch?v=pjUxSOCRVoo"/>
    <hyperlink ref="C16" r:id="rId2" display="https://www.youtube.com/watch?v=t35MO1iMp4w"/>
    <hyperlink ref="C20" r:id="rId3" display="https://www.youtube.com/watch?v=Tg4U3PdzzoY"/>
    <hyperlink ref="C28" r:id="rId4" display="www.piping-tools.ne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2018-10-17T21:54:19Z</dcterms:created>
  <dcterms:modified xsi:type="dcterms:W3CDTF">2018-12-12T11:45:30Z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